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defaultThemeVersion="166925"/>
  <mc:AlternateContent xmlns:mc="http://schemas.openxmlformats.org/markup-compatibility/2006">
    <mc:Choice Requires="x15">
      <x15ac:absPath xmlns:x15ac="http://schemas.microsoft.com/office/spreadsheetml/2010/11/ac" url="/Users/terryburka/Desktop/NFT IP AW and Joshua/To Josh/"/>
    </mc:Choice>
  </mc:AlternateContent>
  <xr:revisionPtr revIDLastSave="0" documentId="13_ncr:1_{8709CA31-0C2D-1A45-921A-99AEAE5D7273}" xr6:coauthVersionLast="47" xr6:coauthVersionMax="47" xr10:uidLastSave="{00000000-0000-0000-0000-000000000000}"/>
  <bookViews>
    <workbookView xWindow="500" yWindow="1220" windowWidth="27640" windowHeight="16540" xr2:uid="{FF2209B1-F565-9847-9445-855BF12B64B5}"/>
  </bookViews>
  <sheets>
    <sheet name=" Eq Valuation" sheetId="1" r:id="rId1"/>
  </sheets>
  <externalReferences>
    <externalReference r:id="rId2"/>
  </externalReferences>
  <definedNames>
    <definedName name="range" localSheetId="0">' Eq Valuation'!#REF!</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63" i="1" l="1"/>
  <c r="H260" i="1"/>
  <c r="H259" i="1"/>
  <c r="H263" i="1" s="1"/>
  <c r="F246" i="1"/>
  <c r="F247" i="1" s="1"/>
  <c r="F248" i="1" s="1"/>
  <c r="F249" i="1" s="1"/>
  <c r="F244" i="1"/>
  <c r="G243" i="1"/>
  <c r="F243" i="1" s="1"/>
  <c r="N236" i="1"/>
  <c r="M236" i="1" s="1"/>
  <c r="F236" i="1"/>
  <c r="F234" i="1"/>
  <c r="G233" i="1"/>
  <c r="H222" i="1"/>
  <c r="G217" i="1"/>
  <c r="I216" i="1"/>
  <c r="G216" i="1"/>
  <c r="G215" i="1"/>
  <c r="I214" i="1"/>
  <c r="N212" i="1"/>
  <c r="M212" i="1" s="1"/>
  <c r="E209" i="1"/>
  <c r="E210" i="1" s="1"/>
  <c r="G214" i="1" s="1"/>
  <c r="E201" i="1"/>
  <c r="E202" i="1" s="1"/>
  <c r="E199" i="1"/>
  <c r="F193" i="1"/>
  <c r="F204" i="1" s="1"/>
  <c r="F186" i="1"/>
  <c r="E180" i="1"/>
  <c r="G181" i="1" s="1"/>
  <c r="O177" i="1"/>
  <c r="O189" i="1" s="1"/>
  <c r="I173" i="1"/>
  <c r="J173" i="1" s="1"/>
  <c r="K173" i="1" s="1"/>
  <c r="J162" i="1"/>
  <c r="F162" i="1"/>
  <c r="I162" i="1" s="1"/>
  <c r="K162" i="1" s="1"/>
  <c r="H151" i="1"/>
  <c r="I151" i="1" s="1"/>
  <c r="G151" i="1"/>
  <c r="K144" i="1"/>
  <c r="K141" i="1"/>
  <c r="Q140" i="1"/>
  <c r="R137" i="1" s="1"/>
  <c r="R140" i="1" s="1"/>
  <c r="O140" i="1"/>
  <c r="R138" i="1"/>
  <c r="Q138" i="1" s="1"/>
  <c r="Q139" i="1" s="1"/>
  <c r="P138" i="1"/>
  <c r="P137" i="1"/>
  <c r="P140" i="1" s="1"/>
  <c r="J129" i="1"/>
  <c r="I129" i="1" s="1"/>
  <c r="H119" i="1"/>
  <c r="J118" i="1"/>
  <c r="J114" i="1" s="1"/>
  <c r="H114" i="1"/>
  <c r="D105" i="1"/>
  <c r="J115" i="1" s="1"/>
  <c r="I115" i="1" s="1"/>
  <c r="H115" i="1" s="1"/>
  <c r="D102" i="1"/>
  <c r="F127" i="1" s="1"/>
  <c r="F70" i="1"/>
  <c r="F69" i="1"/>
  <c r="F71" i="1" s="1"/>
  <c r="E65" i="1"/>
  <c r="E64" i="1"/>
  <c r="E63" i="1"/>
  <c r="E62" i="1"/>
  <c r="Z54" i="1"/>
  <c r="Z53" i="1"/>
  <c r="X53" i="1"/>
  <c r="F50" i="1"/>
  <c r="E49" i="1"/>
  <c r="D49" i="1"/>
  <c r="J44" i="1"/>
  <c r="I44" i="1"/>
  <c r="M43" i="1"/>
  <c r="L43" i="1"/>
  <c r="L50" i="1" s="1"/>
  <c r="K43" i="1"/>
  <c r="K50" i="1" s="1"/>
  <c r="J43" i="1"/>
  <c r="J50" i="1" s="1"/>
  <c r="I43" i="1"/>
  <c r="H43" i="1"/>
  <c r="G43" i="1"/>
  <c r="F43" i="1"/>
  <c r="E43" i="1"/>
  <c r="E50" i="1" s="1"/>
  <c r="D43" i="1"/>
  <c r="D50" i="1" s="1"/>
  <c r="Z33" i="1"/>
  <c r="Z34" i="1" s="1"/>
  <c r="Z52" i="1" s="1"/>
  <c r="D29" i="1"/>
  <c r="M46" i="1" s="1"/>
  <c r="N46" i="1" s="1"/>
  <c r="D20" i="1"/>
  <c r="D19" i="1"/>
  <c r="D17" i="1"/>
  <c r="M209" i="1" s="1"/>
  <c r="D15" i="1"/>
  <c r="O14" i="1"/>
  <c r="O15" i="1" s="1"/>
  <c r="O17" i="1" s="1"/>
  <c r="D14" i="1"/>
  <c r="D16" i="1" s="1"/>
  <c r="D6" i="1"/>
  <c r="O5" i="1"/>
  <c r="D5" i="1"/>
  <c r="V4" i="1"/>
  <c r="V5" i="1" s="1"/>
  <c r="V6" i="1" s="1"/>
  <c r="V7" i="1" s="1"/>
  <c r="V8" i="1" s="1"/>
  <c r="V9" i="1" s="1"/>
  <c r="V10" i="1" s="1"/>
  <c r="V11" i="1" s="1"/>
  <c r="V12" i="1" s="1"/>
  <c r="V13" i="1" s="1"/>
  <c r="V14" i="1" s="1"/>
  <c r="O4" i="1"/>
  <c r="O6" i="1" s="1"/>
  <c r="D3" i="1"/>
  <c r="O3" i="1" s="1"/>
  <c r="D8" i="1" l="1"/>
  <c r="L44" i="1"/>
  <c r="F46" i="1"/>
  <c r="F47" i="1" s="1"/>
  <c r="O138" i="1"/>
  <c r="O139" i="1" s="1"/>
  <c r="E203" i="1"/>
  <c r="E204" i="1" s="1"/>
  <c r="G47" i="1"/>
  <c r="G46" i="1"/>
  <c r="H265" i="1"/>
  <c r="H266" i="1" s="1"/>
  <c r="M44" i="1"/>
  <c r="N43" i="1"/>
  <c r="N44" i="1" s="1"/>
  <c r="N213" i="1"/>
  <c r="O213" i="1" s="1"/>
  <c r="M213" i="1" s="1"/>
  <c r="P260" i="1"/>
  <c r="I127" i="1"/>
  <c r="I132" i="1" s="1"/>
  <c r="E205" i="1"/>
  <c r="D249" i="1"/>
  <c r="G249" i="1"/>
  <c r="G218" i="1"/>
  <c r="I215" i="1"/>
  <c r="I218" i="1" s="1"/>
  <c r="J216" i="1" s="1"/>
  <c r="D101" i="1"/>
  <c r="M226" i="1"/>
  <c r="E7" i="1"/>
  <c r="D103" i="1"/>
  <c r="F128" i="1" s="1"/>
  <c r="F131" i="1" s="1"/>
  <c r="E6" i="1"/>
  <c r="O7" i="1"/>
  <c r="E60" i="1"/>
  <c r="E66" i="1" s="1"/>
  <c r="N47" i="1"/>
  <c r="M50" i="1"/>
  <c r="D51" i="1" s="1"/>
  <c r="D9" i="1"/>
  <c r="K44" i="1"/>
  <c r="H46" i="1"/>
  <c r="H47" i="1" s="1"/>
  <c r="G50" i="1"/>
  <c r="O181" i="1"/>
  <c r="I46" i="1"/>
  <c r="I47" i="1" s="1"/>
  <c r="M47" i="1"/>
  <c r="H50" i="1"/>
  <c r="J46" i="1"/>
  <c r="J47" i="1" s="1"/>
  <c r="I50" i="1"/>
  <c r="F113" i="1"/>
  <c r="M223" i="1"/>
  <c r="N245" i="1" s="1"/>
  <c r="E5" i="1"/>
  <c r="K46" i="1"/>
  <c r="K47" i="1" s="1"/>
  <c r="J105" i="1"/>
  <c r="D107" i="1"/>
  <c r="G162" i="1"/>
  <c r="L162" i="1" s="1"/>
  <c r="M225" i="1"/>
  <c r="F237" i="1"/>
  <c r="D46" i="1"/>
  <c r="D47" i="1" s="1"/>
  <c r="L46" i="1"/>
  <c r="L47" i="1" s="1"/>
  <c r="F54" i="1"/>
  <c r="F57" i="1" s="1"/>
  <c r="E46" i="1"/>
  <c r="E47" i="1" s="1"/>
  <c r="G129" i="1" l="1"/>
  <c r="G130" i="1"/>
  <c r="G127" i="1"/>
  <c r="C47" i="1"/>
  <c r="O176" i="1" s="1"/>
  <c r="F53" i="1"/>
  <c r="O180" i="1"/>
  <c r="O182" i="1"/>
  <c r="O183" i="1" s="1"/>
  <c r="N248" i="1"/>
  <c r="N247" i="1"/>
  <c r="E8" i="1"/>
  <c r="F117" i="1"/>
  <c r="G113" i="1" s="1"/>
  <c r="K265" i="1"/>
  <c r="M231" i="1"/>
  <c r="M237" i="1"/>
  <c r="H127" i="1"/>
  <c r="H104" i="1"/>
  <c r="F104" i="1"/>
  <c r="E69" i="1"/>
  <c r="E68" i="1"/>
  <c r="I65" i="1" s="1"/>
  <c r="J65" i="1" s="1"/>
  <c r="E67" i="1"/>
  <c r="E70" i="1"/>
  <c r="X95" i="1" s="1"/>
  <c r="G128" i="1"/>
  <c r="J130" i="1"/>
  <c r="J116" i="1"/>
  <c r="I116" i="1" s="1"/>
  <c r="F238" i="1"/>
  <c r="F240" i="1" s="1"/>
  <c r="J215" i="1"/>
  <c r="J217" i="1" s="1"/>
  <c r="I64" i="1" l="1"/>
  <c r="J64" i="1" s="1"/>
  <c r="E71" i="1"/>
  <c r="G240" i="1"/>
  <c r="D240" i="1"/>
  <c r="H116" i="1"/>
  <c r="I113" i="1"/>
  <c r="G114" i="1"/>
  <c r="G118" i="1" s="1"/>
  <c r="G116" i="1"/>
  <c r="G115" i="1"/>
  <c r="F56" i="1"/>
  <c r="F58" i="1" s="1"/>
  <c r="F55" i="1"/>
  <c r="D104" i="1"/>
  <c r="F107" i="1"/>
  <c r="G104" i="1"/>
  <c r="F239" i="1"/>
  <c r="H131" i="1"/>
  <c r="O237" i="1"/>
  <c r="N237" i="1" s="1"/>
  <c r="N252" i="1"/>
  <c r="G106" i="1" l="1"/>
  <c r="G107" i="1" s="1"/>
  <c r="G105" i="1"/>
  <c r="K130" i="1"/>
  <c r="K129" i="1" s="1"/>
  <c r="H130" i="1"/>
  <c r="H129" i="1"/>
  <c r="H132" i="1" s="1"/>
  <c r="J102" i="1"/>
  <c r="J125" i="1"/>
  <c r="J131" i="1" s="1"/>
  <c r="J127" i="1" s="1"/>
  <c r="K106" i="1"/>
  <c r="J111" i="1"/>
  <c r="J117" i="1" s="1"/>
  <c r="N253" i="1"/>
  <c r="N254" i="1" s="1"/>
  <c r="N239" i="1"/>
  <c r="I118" i="1"/>
  <c r="H113" i="1"/>
  <c r="Q267" i="1" l="1"/>
  <c r="N249" i="1"/>
  <c r="N250" i="1" s="1"/>
  <c r="Q265" i="1"/>
  <c r="H118" i="1"/>
  <c r="H117" i="1"/>
  <c r="K116" i="1" s="1"/>
  <c r="H120" i="1"/>
  <c r="K105" i="1"/>
  <c r="H105" i="1" s="1"/>
  <c r="H106" i="1"/>
  <c r="H107" i="1" l="1"/>
  <c r="I104" i="1" s="1"/>
  <c r="J106" i="1"/>
  <c r="J107" i="1" s="1"/>
  <c r="I106" i="1" l="1"/>
  <c r="J104" i="1"/>
  <c r="L105" i="1"/>
  <c r="I105" i="1"/>
  <c r="I107" i="1" s="1"/>
</calcChain>
</file>

<file path=xl/sharedStrings.xml><?xml version="1.0" encoding="utf-8"?>
<sst xmlns="http://schemas.openxmlformats.org/spreadsheetml/2006/main" count="661" uniqueCount="543">
  <si>
    <t>Assumptions and Inputs</t>
  </si>
  <si>
    <t>Don’t Forget or Checklist</t>
  </si>
  <si>
    <t>Authorized Common Shares</t>
  </si>
  <si>
    <t>Share Classes</t>
  </si>
  <si>
    <t>authorize common shares</t>
  </si>
  <si>
    <t>The Fenwick Survey</t>
  </si>
  <si>
    <t>Option Pool and Vesting</t>
  </si>
  <si>
    <t>Founders Shares</t>
  </si>
  <si>
    <t>Series A-1: Converted Noteholders with Partial Participation Rights</t>
  </si>
  <si>
    <t>subtract out founders shares</t>
  </si>
  <si>
    <t>co-founders spiit based on seniority</t>
  </si>
  <si>
    <t>https://www.capshare.com/blog/understanding-convertible-debt-and-how-it-affects-your-cap-table/</t>
  </si>
  <si>
    <t>Stock Option Discount to Strike Price</t>
  </si>
  <si>
    <t>of the FMV</t>
  </si>
  <si>
    <t>Founder #1</t>
  </si>
  <si>
    <t>Series A: VC with Partial Participation Rights</t>
  </si>
  <si>
    <t>option pool</t>
  </si>
  <si>
    <t>for employees and advisors</t>
  </si>
  <si>
    <t>https://equity.gust.com/convertible-notes</t>
  </si>
  <si>
    <t>Vesting Period (Founders and Option Pool)</t>
  </si>
  <si>
    <t>Months</t>
  </si>
  <si>
    <t>Founder #2</t>
  </si>
  <si>
    <t>total founders and option pool</t>
  </si>
  <si>
    <t>https://www.wilmerhale.com/uploadedFiles/Shared_Content/Editorial/Publications/Documents/2017-WilmerHale-VC-Report.pdf</t>
  </si>
  <si>
    <t>Option Exercise Period</t>
  </si>
  <si>
    <t>Years</t>
  </si>
  <si>
    <t>Option Pool</t>
  </si>
  <si>
    <t>Class A Common (Noteholders and Investors)</t>
  </si>
  <si>
    <t>remaining authorized shares</t>
  </si>
  <si>
    <t>http://siliconhillslawyer.com/2015/04/29/capped-convertible-notes-liquidation-overhang/</t>
  </si>
  <si>
    <t>Series A Option Pool</t>
  </si>
  <si>
    <t>Founders and Option Pool</t>
  </si>
  <si>
    <t xml:space="preserve"> Class-A1.1 (Common Options-Executives &amp; Advisors)</t>
  </si>
  <si>
    <t>Par value</t>
  </si>
  <si>
    <t>http://www.esplp.com/FileUploads/RichTextboxImages/File/The%20Case%20Against%20Conversion%20Discounts%20for%20Convertible%20Debt.pdf</t>
  </si>
  <si>
    <t>Issued Options</t>
  </si>
  <si>
    <t>Remaining Authorized Shares</t>
  </si>
  <si>
    <t xml:space="preserve"> Class-A1.2 (Common Options: Employees)</t>
  </si>
  <si>
    <t>stabilized cash flow growth rate</t>
  </si>
  <si>
    <t>Dilution  15-30% (10%-20% of the dilution goes to investors and 5%-10% goes to the option pool).</t>
  </si>
  <si>
    <r>
      <t xml:space="preserve">Unissued </t>
    </r>
    <r>
      <rPr>
        <i/>
        <sz val="11"/>
        <color rgb="FF000000"/>
        <rFont val="Arial"/>
        <family val="2"/>
      </rPr>
      <t>After</t>
    </r>
    <r>
      <rPr>
        <sz val="11"/>
        <color rgb="FF000000"/>
        <rFont val="Arial"/>
        <family val="2"/>
      </rPr>
      <t xml:space="preserve"> Series A</t>
    </r>
  </si>
  <si>
    <t>Est.</t>
  </si>
  <si>
    <t>Class-A1.3 (Option Pool Expansion at Series A)</t>
  </si>
  <si>
    <t xml:space="preserve">private lenders growth rate </t>
  </si>
  <si>
    <t>based on the face value of their notes</t>
  </si>
  <si>
    <t>Series A which might have 30%-55% dilution. (20%-40% of the dilution goes to investors and 10%-15% goes to the option pool.)</t>
  </si>
  <si>
    <t>Unvested</t>
  </si>
  <si>
    <t xml:space="preserve"> Unknown </t>
  </si>
  <si>
    <t>Stabilized 10th Yr. Cash Flow Growth Rate</t>
  </si>
  <si>
    <t>Expected after Yr. 10</t>
  </si>
  <si>
    <t>Class-B (Founders and Discounted Portion of the CNs)</t>
  </si>
  <si>
    <t>Dividend rate</t>
  </si>
  <si>
    <t xml:space="preserve">derived by founders based on how much equity costs </t>
  </si>
  <si>
    <t>Maintain a 10:1 multiple to maintain control at dilution, I don’t want shareholders to be able to collectively overrule us</t>
  </si>
  <si>
    <t>Convertible Note Stated Interest Rate</t>
  </si>
  <si>
    <t>Tweaking convertible debt so that common stock (instead of preferred stock) is issued for the conversion discount in order to limit liquidation preference overhang</t>
  </si>
  <si>
    <t>Dividend Rate</t>
  </si>
  <si>
    <t>Notes</t>
  </si>
  <si>
    <t>Private lenders</t>
  </si>
  <si>
    <r>
      <t>10% is your </t>
    </r>
    <r>
      <rPr>
        <i/>
        <sz val="11"/>
        <color rgb="FF333333"/>
        <rFont val="Arial"/>
        <family val="2"/>
      </rPr>
      <t>aspirational </t>
    </r>
    <r>
      <rPr>
        <sz val="11"/>
        <color rgb="FF333333"/>
        <rFont val="Arial"/>
        <family val="2"/>
      </rPr>
      <t>dilution. It’s the lowest dilution you can justify.</t>
    </r>
  </si>
  <si>
    <t>Convertible Note (Round 1)</t>
  </si>
  <si>
    <t>Interest on the notes</t>
  </si>
  <si>
    <t>per year: expect 3 years for whatever reason</t>
  </si>
  <si>
    <t>Dont let the valuations vetwen the CN and series A get too large, or I will fare worse. Keep them relatively close, due to liquidation overhang.</t>
  </si>
  <si>
    <t>Convertible Note Interest</t>
  </si>
  <si>
    <t>Covers portion of a $50M fund, including transaction expenses</t>
  </si>
  <si>
    <t>Equity</t>
  </si>
  <si>
    <t>Investors (covers fund remainder</t>
  </si>
  <si>
    <t xml:space="preserve">TEST OF A GOOD DEAL </t>
  </si>
  <si>
    <t>.1/(1-n)=n%</t>
  </si>
  <si>
    <t>same formula when giving employee stock</t>
  </si>
  <si>
    <t>P&amp;I, Series A (Round 2)</t>
  </si>
  <si>
    <t>Total  Funding</t>
  </si>
  <si>
    <t>From all sources debt and equity o a $50M fund plus trxn exps</t>
  </si>
  <si>
    <t>CN Conversion Rate</t>
  </si>
  <si>
    <t>Notes convertible to shares</t>
  </si>
  <si>
    <t>Pre-money Conversion Cap</t>
  </si>
  <si>
    <t>Series A Investment</t>
  </si>
  <si>
    <t>Discount Rate (Composite)</t>
  </si>
  <si>
    <t>10-Year Treasury Index</t>
  </si>
  <si>
    <t>Large Cap Stock Equity Risk Premium (ERP)</t>
  </si>
  <si>
    <t>Small Cap Stock Risk Premium</t>
  </si>
  <si>
    <t>Biotechnology Risk Premium</t>
  </si>
  <si>
    <t>Early-Stage Company Premium</t>
  </si>
  <si>
    <t xml:space="preserve"> </t>
  </si>
  <si>
    <t>Total Discount Rate</t>
  </si>
  <si>
    <t>Notes to Discount Rate</t>
  </si>
  <si>
    <r>
      <t xml:space="preserve">1. </t>
    </r>
    <r>
      <rPr>
        <b/>
        <sz val="11"/>
        <color rgb="FF000000"/>
        <rFont val="Arial"/>
        <family val="2"/>
      </rPr>
      <t>10-Year Treasury Index</t>
    </r>
    <r>
      <rPr>
        <sz val="11"/>
        <color rgb="FF000000"/>
        <rFont val="Arial"/>
        <family val="2"/>
      </rPr>
      <t xml:space="preserve">: June 12, 2017:  (Risk-free) Constant Maturity, Average Yield Range on all </t>
    </r>
    <r>
      <rPr>
        <i/>
        <sz val="11"/>
        <color rgb="FF000000"/>
        <rFont val="Arial"/>
        <family val="2"/>
      </rPr>
      <t>Treasury Securities</t>
    </r>
    <r>
      <rPr>
        <sz val="11"/>
        <color rgb="FF000000"/>
        <rFont val="Arial"/>
        <family val="2"/>
      </rPr>
      <t>, adjusted to the equivalent of a 10-year maturity.</t>
    </r>
  </si>
  <si>
    <r>
      <t xml:space="preserve">2. </t>
    </r>
    <r>
      <rPr>
        <b/>
        <sz val="11"/>
        <color theme="1"/>
        <rFont val="Arial"/>
        <family val="2"/>
      </rPr>
      <t xml:space="preserve">ERP </t>
    </r>
    <r>
      <rPr>
        <sz val="11"/>
        <color theme="1"/>
        <rFont val="Arial"/>
        <family val="2"/>
      </rPr>
      <t>Feb. 5, 2017:  Source:</t>
    </r>
    <r>
      <rPr>
        <i/>
        <sz val="11"/>
        <color theme="1"/>
        <rFont val="Arial"/>
        <family val="2"/>
      </rPr>
      <t xml:space="preserve"> Gutenberg</t>
    </r>
    <r>
      <rPr>
        <sz val="11"/>
        <color theme="1"/>
        <rFont val="Arial"/>
        <family val="2"/>
      </rPr>
      <t xml:space="preserve">.com; </t>
    </r>
    <r>
      <rPr>
        <i/>
        <sz val="11"/>
        <color theme="1"/>
        <rFont val="Arial"/>
        <family val="2"/>
      </rPr>
      <t>Constant Sharpe Approach;</t>
    </r>
    <r>
      <rPr>
        <sz val="11"/>
        <color theme="1"/>
        <rFont val="Arial"/>
        <family val="2"/>
      </rPr>
      <t xml:space="preserve"> (6.1% "excess return";  the latest running average, which compensates investors over the risk-free rate.)</t>
    </r>
  </si>
  <si>
    <r>
      <t xml:space="preserve">3. </t>
    </r>
    <r>
      <rPr>
        <b/>
        <sz val="11"/>
        <color theme="1"/>
        <rFont val="Arial"/>
        <family val="2"/>
      </rPr>
      <t>Small Cap Stock Risk Premium</t>
    </r>
    <r>
      <rPr>
        <sz val="11"/>
        <color theme="1"/>
        <rFont val="Arial"/>
        <family val="2"/>
      </rPr>
      <t xml:space="preserve">: </t>
    </r>
    <r>
      <rPr>
        <i/>
        <sz val="11"/>
        <color theme="1"/>
        <rFont val="Arial"/>
        <family val="2"/>
      </rPr>
      <t>Morningstar,</t>
    </r>
    <r>
      <rPr>
        <sz val="11"/>
        <color theme="1"/>
        <rFont val="Arial"/>
        <family val="2"/>
      </rPr>
      <t xml:space="preserve"> March 2017.</t>
    </r>
  </si>
  <si>
    <t>where n% is the amount or fraction to give up, I am giving up</t>
  </si>
  <si>
    <t>new employee is worth n = i =1/(1-n)</t>
  </si>
  <si>
    <r>
      <t xml:space="preserve">4. </t>
    </r>
    <r>
      <rPr>
        <b/>
        <sz val="11"/>
        <color theme="1"/>
        <rFont val="Arial"/>
        <family val="2"/>
      </rPr>
      <t>Biotechnology Risk Premium</t>
    </r>
    <r>
      <rPr>
        <sz val="11"/>
        <color theme="1"/>
        <rFont val="Arial"/>
        <family val="2"/>
      </rPr>
      <t xml:space="preserve">: </t>
    </r>
    <r>
      <rPr>
        <i/>
        <sz val="11"/>
        <color theme="1"/>
        <rFont val="Arial"/>
        <family val="2"/>
      </rPr>
      <t>Daily Treasury Long-term Rate Data</t>
    </r>
    <r>
      <rPr>
        <sz val="11"/>
        <color theme="1"/>
        <rFont val="Arial"/>
        <family val="2"/>
      </rPr>
      <t xml:space="preserve"> @ 2.83% on April 17, 2017 multiplied by a 1.4 beta for a biotech device.</t>
    </r>
  </si>
  <si>
    <t>and (100-n)% is the amount I have left over</t>
  </si>
  <si>
    <t>which means n = (i-1)/i</t>
  </si>
  <si>
    <r>
      <t xml:space="preserve">5. </t>
    </r>
    <r>
      <rPr>
        <b/>
        <sz val="11"/>
        <color theme="1"/>
        <rFont val="Arial"/>
        <family val="2"/>
      </rPr>
      <t>Early-Stage Company Premium</t>
    </r>
    <r>
      <rPr>
        <sz val="11"/>
        <color theme="1"/>
        <rFont val="Arial"/>
        <family val="2"/>
      </rPr>
      <t>: Liquidity risk premium for investors' cash out risk.</t>
    </r>
  </si>
  <si>
    <t>b/e= sell half my company, I have to be twice as far along, or doubled to be net ahead.</t>
  </si>
  <si>
    <t>1. Vesting Cliff: After 12 months continuouof s employment.</t>
  </si>
  <si>
    <r>
      <t xml:space="preserve">6. </t>
    </r>
    <r>
      <rPr>
        <b/>
        <sz val="11"/>
        <color theme="1"/>
        <rFont val="Arial"/>
        <family val="2"/>
      </rPr>
      <t>Total Discount Rate</t>
    </r>
    <r>
      <rPr>
        <sz val="11"/>
        <color theme="1"/>
        <rFont val="Arial"/>
        <family val="2"/>
      </rPr>
      <t>: Risk-free Rate Plus Risk Premiums</t>
    </r>
  </si>
  <si>
    <t>I have half as big a share worth more than twice as much</t>
  </si>
  <si>
    <t>suppose me and aw hire a person who we feel will incease the average outcome</t>
  </si>
  <si>
    <t>2. At day-1 of 7th month, back-vesting through 6 months.</t>
  </si>
  <si>
    <t>if the % I give up: it’s a agood deal if TDI is worth more than 1/(1-n)</t>
  </si>
  <si>
    <t xml:space="preserve">of the whole company by 20%. </t>
  </si>
  <si>
    <t>3. Vest per month over a period of 48 months, 12 month cliff.</t>
  </si>
  <si>
    <t>Discounted Cash Flow Analysis</t>
  </si>
  <si>
    <t>ex: VC wants to fund me in return for 6% of TDI</t>
  </si>
  <si>
    <t>n=(1.2-1)/1.2 =.167</t>
  </si>
  <si>
    <t>4. 25% vest at the cliff of 1 year.</t>
  </si>
  <si>
    <t>n=.06</t>
  </si>
  <si>
    <t>So we will break even if we trade 16.7% of the company for him.</t>
  </si>
  <si>
    <t>5. Employees exercise within 2 years; Directors exercise within 10 years.</t>
  </si>
  <si>
    <t>Proof of Concept</t>
  </si>
  <si>
    <t>1st Year of Positive CF</t>
  </si>
  <si>
    <t>1/(1-n)=1.064</t>
  </si>
  <si>
    <t xml:space="preserve">doesn’t mean the right amount is 16.7% stock, </t>
  </si>
  <si>
    <t>6. If fired, 3 months additional vesting.</t>
  </si>
  <si>
    <t>if 6.4% is the TDI hurdle rate, then take the deal</t>
  </si>
  <si>
    <t>but the total package must fall under 16.7%, which includes stock, salary, overhead, etc.</t>
  </si>
  <si>
    <t>7. Company purchase acceleration:  Exercise within 60 days.</t>
  </si>
  <si>
    <t>Stabilized NOI</t>
  </si>
  <si>
    <t>8. Reasons for add'l issue: performance, promotions, etc.</t>
  </si>
  <si>
    <t>Net Cash Flow</t>
  </si>
  <si>
    <t>9. Directors vest over 24 months.</t>
  </si>
  <si>
    <t>Year-over Growth</t>
  </si>
  <si>
    <t>Terminal Value @ EOY 10 Yrs.</t>
  </si>
  <si>
    <t>Discount Series of CF</t>
  </si>
  <si>
    <t>Present Value</t>
  </si>
  <si>
    <t>Cash Flows Plus Terminal Value</t>
  </si>
  <si>
    <t>TDI 10-Yr. IRR</t>
  </si>
  <si>
    <t>if the net ahead is 10%, then .94x1.1=1.034</t>
  </si>
  <si>
    <t>to translate salary and OH into stock, multiply the annual rate by 1.5.</t>
  </si>
  <si>
    <t>PV at Time-zero</t>
  </si>
  <si>
    <t>Based on Discount Rate over 10-year Horizon</t>
  </si>
  <si>
    <t>what if I want to make a 50% profit on a new employee</t>
  </si>
  <si>
    <t>Sum of CFs</t>
  </si>
  <si>
    <t>Year 1-10</t>
  </si>
  <si>
    <t>vc wants to take 6% of my company, then I have .94%</t>
  </si>
  <si>
    <t>so take 2/3 * 16.7% (subtracting a third)</t>
  </si>
  <si>
    <t xml:space="preserve">Compounded at the DR to Yr. 2 </t>
  </si>
  <si>
    <t>At Series A</t>
  </si>
  <si>
    <t>if n is the % I will give up, and n = 10%, then</t>
  </si>
  <si>
    <t>which equals 11.1% as the employee's retail price</t>
  </si>
  <si>
    <t>Compounded at the DR to Yr. 10</t>
  </si>
  <si>
    <t>.94x1.1=1.034</t>
  </si>
  <si>
    <t>if he costs $6e0K a year in salary and OH times 1.5 = 90k$ total.</t>
  </si>
  <si>
    <t>Sum of CFs (Yrs. 1-10) plus Terminal Value</t>
  </si>
  <si>
    <t>Estimated Sale</t>
  </si>
  <si>
    <t>what is the 94% I have left over worth to me?</t>
  </si>
  <si>
    <t>if the TDI vaaluation is $2M, then $90K is 4.5%.</t>
  </si>
  <si>
    <t>PPS Terminal</t>
  </si>
  <si>
    <t>ans: 1.034.</t>
  </si>
  <si>
    <t>11.1% less 4.5% = an offer of 6.6%.</t>
  </si>
  <si>
    <t>Tenth Year Sale and Distribution</t>
  </si>
  <si>
    <t>Exit Sale Price</t>
  </si>
  <si>
    <t>Based on the Terminal Value; Not including Liabilities</t>
  </si>
  <si>
    <t>if I want 30% of the companuy</t>
  </si>
  <si>
    <t>important to give early employees small salaries, it comes from stock that would otw would be given them</t>
  </si>
  <si>
    <t>Less Estimated Transaction Fees</t>
  </si>
  <si>
    <t>Less Series A 1X Liquidation Preference, CN Holders P&amp;I plus interest</t>
  </si>
  <si>
    <t>P&amp;I until Conversion</t>
  </si>
  <si>
    <t>Investment Multiple</t>
  </si>
  <si>
    <t>1/.7=1.43</t>
  </si>
  <si>
    <t>vc's will give me a list of grant sizes</t>
  </si>
  <si>
    <t>Less Series A 1X Liquidation Preference, Series A Investors</t>
  </si>
  <si>
    <t>Total Exit</t>
  </si>
  <si>
    <t>improves my outcome by 43%</t>
  </si>
  <si>
    <t>Less Series A Dividend, CN Holders</t>
  </si>
  <si>
    <t>6% Dividend, 10 years</t>
  </si>
  <si>
    <t>Series Seed</t>
  </si>
  <si>
    <t xml:space="preserve">if its less than 30%, then bad, </t>
  </si>
  <si>
    <t>always use the 1/(1-n) to see if equity tradeoff makes sense. I should feel richer after trading equity.</t>
  </si>
  <si>
    <t>Less Series A Dividend, VC Investors</t>
  </si>
  <si>
    <t>6% Dividend, 8 years</t>
  </si>
  <si>
    <t>Series A</t>
  </si>
  <si>
    <t>like as coverage ratio.</t>
  </si>
  <si>
    <t>don’t do it TDI is not net-ahead</t>
  </si>
  <si>
    <t>Subtotal Remainder and Common Distributions</t>
  </si>
  <si>
    <t>Common Distribution, Convertible Note</t>
  </si>
  <si>
    <t>Series A-1</t>
  </si>
  <si>
    <t>The deal is good if TDI is worth more than</t>
  </si>
  <si>
    <t>Common Distribution, Series A Investors</t>
  </si>
  <si>
    <t>(1/(1-n)</t>
  </si>
  <si>
    <t>Total Series Seed and Series A Distribution</t>
  </si>
  <si>
    <t>(100-n)%</t>
  </si>
  <si>
    <t xml:space="preserve">                             </t>
  </si>
  <si>
    <t>Common Holder Share Distribution</t>
  </si>
  <si>
    <t>% Ownership CS (Founders and Option Pool)</t>
  </si>
  <si>
    <t>n=% of TDI we are giving up</t>
  </si>
  <si>
    <t>Total Distributions</t>
  </si>
  <si>
    <t>If the value of the company is more than it was before</t>
  </si>
  <si>
    <t xml:space="preserve"> VC wants 30% of a company. </t>
  </si>
  <si>
    <t>1/.7 = 1.43, meaning that deal is worth taking if they can improve your outcome by more than 43%.</t>
  </si>
  <si>
    <r>
      <t xml:space="preserve">CN </t>
    </r>
    <r>
      <rPr>
        <i/>
        <sz val="11"/>
        <color theme="1"/>
        <rFont val="Arial"/>
        <family val="2"/>
      </rPr>
      <t>Valuation Cap</t>
    </r>
    <r>
      <rPr>
        <sz val="11"/>
        <color theme="1"/>
        <rFont val="Arial"/>
        <family val="2"/>
      </rPr>
      <t xml:space="preserve"> Applied to the Series A Price</t>
    </r>
  </si>
  <si>
    <t>The simplified formula for calculating diluted earnings per share is:</t>
  </si>
  <si>
    <r>
      <t xml:space="preserve">Converted </t>
    </r>
    <r>
      <rPr>
        <i/>
        <sz val="11"/>
        <color theme="1"/>
        <rFont val="Arial"/>
        <family val="2"/>
      </rPr>
      <t>Value:</t>
    </r>
    <r>
      <rPr>
        <sz val="11"/>
        <color theme="1"/>
        <rFont val="Arial"/>
        <family val="2"/>
      </rPr>
      <t xml:space="preserve"> the portion of the CN converted into Pf Sh using the CN Valuation Cap</t>
    </r>
  </si>
  <si>
    <t>The conversion Valuation Cap premium converts into CS at the PPS Pf (0.3 proxy for series A ownership); The CN converts into minimum % of Pf Shs.  Issuing some in common stock helps eliminate liquidation overhang.</t>
  </si>
  <si>
    <t>Net Income - Preferred Dividends</t>
  </si>
  <si>
    <r>
      <t xml:space="preserve">CN Premium </t>
    </r>
    <r>
      <rPr>
        <i/>
        <sz val="11"/>
        <color theme="1"/>
        <rFont val="Arial"/>
        <family val="2"/>
      </rPr>
      <t>Multiple</t>
    </r>
    <r>
      <rPr>
        <sz val="11"/>
        <color theme="1"/>
        <rFont val="Arial"/>
        <family val="2"/>
      </rPr>
      <t xml:space="preserve"> based on the Valuation Cap</t>
    </r>
  </si>
  <si>
    <t>(weighted average number of shares outstanding + impact of convertible securities - impact of options, warrants and other dilutive securities)</t>
  </si>
  <si>
    <r>
      <t xml:space="preserve">Converted </t>
    </r>
    <r>
      <rPr>
        <i/>
        <sz val="11"/>
        <color theme="1"/>
        <rFont val="Arial"/>
        <family val="2"/>
      </rPr>
      <t>Value:</t>
    </r>
    <r>
      <rPr>
        <sz val="11"/>
        <color theme="1"/>
        <rFont val="Arial"/>
        <family val="2"/>
      </rPr>
      <t xml:space="preserve"> the portion of the CN converted into Pf Sh using the CN Conversion Discount</t>
    </r>
  </si>
  <si>
    <t>CN/series A Post $/(1-DR)</t>
  </si>
  <si>
    <r>
      <t xml:space="preserve">Conversion </t>
    </r>
    <r>
      <rPr>
        <i/>
        <sz val="11"/>
        <color theme="1"/>
        <rFont val="Arial"/>
        <family val="2"/>
      </rPr>
      <t>Premium:</t>
    </r>
    <r>
      <rPr>
        <sz val="11"/>
        <color theme="1"/>
        <rFont val="Arial"/>
        <family val="2"/>
      </rPr>
      <t xml:space="preserve"> Using the Conversion Discount that is converted to CS at the Series A Price</t>
    </r>
  </si>
  <si>
    <t>Conversion Premium (Share Price of Preferred Less Share Price of Common). The conversion Discount premium converts into CS at the PPS Pf.  Issuing some in common stock helps eliminate liquidation overhang.</t>
  </si>
  <si>
    <t>If the conversion discount was 20% and the price of the VC Series A was $1.00 per share, then each $0.80 of note would convert into one share of Series A.</t>
  </si>
  <si>
    <r>
      <t xml:space="preserve">Conversion </t>
    </r>
    <r>
      <rPr>
        <i/>
        <sz val="11"/>
        <color theme="1"/>
        <rFont val="Arial"/>
        <family val="2"/>
      </rPr>
      <t>Premium:</t>
    </r>
    <r>
      <rPr>
        <sz val="11"/>
        <color theme="1"/>
        <rFont val="Arial"/>
        <family val="2"/>
      </rPr>
      <t xml:space="preserve"> Using the Valuation Cap that is converted to CS at the Series A Price</t>
    </r>
  </si>
  <si>
    <t>Start with a low discount and work up: start with 10%, and vest 4x to a max of 20-40%</t>
  </si>
  <si>
    <t>Conversion Price and Conversion Value</t>
  </si>
  <si>
    <t>(PPS Pf S/Conversion Ratio) The CS must reach this price to make the conversion profitable to the CN holder.</t>
  </si>
  <si>
    <r>
      <t xml:space="preserve">Conversion </t>
    </r>
    <r>
      <rPr>
        <i/>
        <sz val="11"/>
        <color theme="1"/>
        <rFont val="Arial"/>
        <family val="2"/>
      </rPr>
      <t>Ratio</t>
    </r>
    <r>
      <rPr>
        <sz val="11"/>
        <color theme="1"/>
        <rFont val="Arial"/>
        <family val="2"/>
      </rPr>
      <t xml:space="preserve"> of a Pf Sh</t>
    </r>
  </si>
  <si>
    <t>(PPS Pf Sh/conversion price) A multiple describing how many shares of CS are received from a Pf Sh. (1 Pf Sh =  # CS). Pf Sh holders can convert 1 Pf Sh into 6.5 CS</t>
  </si>
  <si>
    <t>The cap sets the highest valuation that can be used to determine the conversion price of the notes.</t>
  </si>
  <si>
    <t>((PPS Pf  less Conversion Price and Conversion Ratio) / 100)  Conversion Ratio from Preferred Shares to Common Shares. 20% is a low conversion premium and the PPS Pf will be sensitive to the PPS CS.</t>
  </si>
  <si>
    <t>The lower the conversion value, the more equity the investor receives.</t>
  </si>
  <si>
    <r>
      <t xml:space="preserve">Conversion </t>
    </r>
    <r>
      <rPr>
        <i/>
        <sz val="11"/>
        <color theme="1"/>
        <rFont val="Arial"/>
        <family val="2"/>
      </rPr>
      <t>Price</t>
    </r>
    <r>
      <rPr>
        <sz val="11"/>
        <color theme="1"/>
        <rFont val="Arial"/>
        <family val="2"/>
      </rPr>
      <t xml:space="preserve"> </t>
    </r>
  </si>
  <si>
    <t>PPS Pf / Conversion Ratio of PF Shs to gain from a conversion price, the shares have to be trading higher than $15.38</t>
  </si>
  <si>
    <t>PPS Time Zero</t>
  </si>
  <si>
    <t>Time zero PV/50M Sh</t>
  </si>
  <si>
    <t>PPS Pre-money</t>
  </si>
  <si>
    <t>Pre-money Valuation (includes Unissued, Unvested, and Mispriced CS)</t>
  </si>
  <si>
    <t>PPS Pf at the CN Discount</t>
  </si>
  <si>
    <t>If not converted into CS, since TDI will convert the premium portion to CS, whether via the Discount or the Cap.</t>
  </si>
  <si>
    <t>PPS Pf at the CN Valuation Cap</t>
  </si>
  <si>
    <t>Valuation Cap/Pre-money Value. If not converted into CS, since TDI will convert the premium portion to CS, whether via the Discount or the Cap.</t>
  </si>
  <si>
    <t>PPS Pf</t>
  </si>
  <si>
    <t>(Conversion Price*Conversion Ratio; aka the "Parity") Post-money Valuation (Includes Unissued, Unvested, and Mispriced CS)</t>
  </si>
  <si>
    <t>Partial Capped Participation in the Distributable equal to 20% of the initial investment value plus accrued interest, in the aggregate; ("as converted to CS".)</t>
  </si>
  <si>
    <t>Market PPS CS</t>
  </si>
  <si>
    <t>Partial Capped Participation in the Distributable equal to 10% of the initial investment value; ("as converted to CS".)</t>
  </si>
  <si>
    <r>
      <t xml:space="preserve">CN Holder </t>
    </r>
    <r>
      <rPr>
        <i/>
        <sz val="11"/>
        <color theme="1"/>
        <rFont val="Arial"/>
        <family val="2"/>
      </rPr>
      <t>Ownership %</t>
    </r>
  </si>
  <si>
    <t>FD After Series A</t>
  </si>
  <si>
    <r>
      <t xml:space="preserve">CN Holder </t>
    </r>
    <r>
      <rPr>
        <i/>
        <sz val="11"/>
        <color theme="1"/>
        <rFont val="Arial"/>
        <family val="2"/>
      </rPr>
      <t>Shares</t>
    </r>
  </si>
  <si>
    <t>Investment / (Share Price x (1 - Debt Discount)). FD After Series A</t>
  </si>
  <si>
    <r>
      <t xml:space="preserve">VC </t>
    </r>
    <r>
      <rPr>
        <i/>
        <sz val="11"/>
        <color theme="1"/>
        <rFont val="Arial"/>
        <family val="2"/>
      </rPr>
      <t>Ownership %</t>
    </r>
  </si>
  <si>
    <r>
      <t xml:space="preserve">VC </t>
    </r>
    <r>
      <rPr>
        <i/>
        <sz val="11"/>
        <color theme="1"/>
        <rFont val="Arial"/>
        <family val="2"/>
      </rPr>
      <t>Shares</t>
    </r>
  </si>
  <si>
    <r>
      <t xml:space="preserve">Common </t>
    </r>
    <r>
      <rPr>
        <i/>
        <sz val="11"/>
        <color theme="1"/>
        <rFont val="Arial"/>
        <family val="2"/>
      </rPr>
      <t>Shares</t>
    </r>
  </si>
  <si>
    <t>Fully Diluted</t>
  </si>
  <si>
    <t>CN Holders 1X LP</t>
  </si>
  <si>
    <t>Their initial investment returned, plus Series A-1 With a Partial Capped Participation in the Distributable equal to 20% of the initial investment value plus accrued interest, in the aggregate; ("as converted to CS".)</t>
  </si>
  <si>
    <t>VC Holders 1X LP</t>
  </si>
  <si>
    <t>Their initial investment returned, plus Series A With a Partial Capped Participation in the Distributable equal to 10% of the initial investment value; ("as converted to CS".)</t>
  </si>
  <si>
    <t xml:space="preserve">Capital Table: Pre-money Method: causes both the Founders and the Series A Investors to be diluted by the shares issued upon conversion of the notes in proportion to their ownership percentage. </t>
  </si>
  <si>
    <t>Issued</t>
  </si>
  <si>
    <t>Disputed by VC, but perhaps the most common method. Causes the Founders and the VCs dilution when the CN convert.</t>
  </si>
  <si>
    <t>Founders</t>
  </si>
  <si>
    <t>Shareholders</t>
  </si>
  <si>
    <t>Pre Investment</t>
  </si>
  <si>
    <t>Post Investment</t>
  </si>
  <si>
    <t>Pre-money (Fixed)</t>
  </si>
  <si>
    <t>Option Pool (Fully Issued)</t>
  </si>
  <si>
    <t>Shares</t>
  </si>
  <si>
    <t>% Ownership</t>
  </si>
  <si>
    <t>Post VC Val</t>
  </si>
  <si>
    <t>PPS</t>
  </si>
  <si>
    <t>Pre-money Valuation Does Not Change</t>
  </si>
  <si>
    <t>CN Plus Interest</t>
  </si>
  <si>
    <t>Noteholders</t>
  </si>
  <si>
    <t>test</t>
  </si>
  <si>
    <t>CN Conversion Discount Rate</t>
  </si>
  <si>
    <t>Series A Investors</t>
  </si>
  <si>
    <t>Conversion price based on Pre-money</t>
  </si>
  <si>
    <t>VC Investment</t>
  </si>
  <si>
    <t>Total</t>
  </si>
  <si>
    <t xml:space="preserve">Post-money </t>
  </si>
  <si>
    <t>Capital Table: Dollars Invested Method</t>
  </si>
  <si>
    <t>Often the compromise method out of the 3 methods.</t>
  </si>
  <si>
    <t>1st, take VC $ and divide into Post $ Val to find % ownership</t>
  </si>
  <si>
    <t>Pre-money</t>
  </si>
  <si>
    <t>2nd, increase Angel $ by the discount and arrive at the Pf Sh possible value</t>
  </si>
  <si>
    <t>3rd, back into the remaining % ownership for the founders</t>
  </si>
  <si>
    <t>4th determine qty of shares b4 I can determine the PPS</t>
  </si>
  <si>
    <t>5th take founders shs and divide the % ownership to determine the Total amount of shares</t>
  </si>
  <si>
    <t>6th, divide % ownership into total shares to derive the remaining amt of shs</t>
  </si>
  <si>
    <t>tests</t>
  </si>
  <si>
    <t>Post-money (Fixed to equal the Pre $ valuation, plus $ invested by VCs, plus the P&amp;I on the CNs.)</t>
  </si>
  <si>
    <t>Capital Table: Percentage Ownership Method</t>
  </si>
  <si>
    <t>Founders object to this method, and get all the dilution caused by the conversion of the notes. Of the 3 methods, least attractive to Founders. Founders ownership is less than the Pre-money Method.</t>
  </si>
  <si>
    <t>1st, insert fixed VC %</t>
  </si>
  <si>
    <t>2nd, divided the total discount CN Val into the Fixed Post $ value to get the % ownership</t>
  </si>
  <si>
    <t>3rd, subtract the 100% of % Ownership by the VC and CN holders % ownership to get the Founders Ownership %</t>
  </si>
  <si>
    <t>VC % Ownership is fixed.</t>
  </si>
  <si>
    <t>Post-money (Same result as if fixed, and in this case is fixed at $10M)</t>
  </si>
  <si>
    <t>Cap Math</t>
  </si>
  <si>
    <t>Which Deal is Better?</t>
  </si>
  <si>
    <t>cap</t>
  </si>
  <si>
    <t>Offer 1</t>
  </si>
  <si>
    <t>Offer 2</t>
  </si>
  <si>
    <t>Dividend from Net Operating Profit</t>
  </si>
  <si>
    <t>discount</t>
  </si>
  <si>
    <t>Investors own 10%</t>
  </si>
  <si>
    <t>FD%</t>
  </si>
  <si>
    <t>So, that will be a while,</t>
  </si>
  <si>
    <t>Q: when can the investor use the cap?</t>
  </si>
  <si>
    <t xml:space="preserve">If a late valuation </t>
  </si>
  <si>
    <t>PF sh</t>
  </si>
  <si>
    <t>Dividend based on the par value, non-cumulative</t>
  </si>
  <si>
    <t>A: When Series A is higher than $5M</t>
  </si>
  <si>
    <t>determine a $10M</t>
  </si>
  <si>
    <t>Option pool</t>
  </si>
  <si>
    <t>3 Terminal events: Series B, co sold, or Net Operating Profit</t>
  </si>
  <si>
    <t>because 20% discount off $5M = $4M</t>
  </si>
  <si>
    <t>valuation, then</t>
  </si>
  <si>
    <t>CS</t>
  </si>
  <si>
    <t>If the valuation is less than $5M, then no cap</t>
  </si>
  <si>
    <t>investors own 5%</t>
  </si>
  <si>
    <t>Post $</t>
  </si>
  <si>
    <t>Q: if the valuation were to also be $4m</t>
  </si>
  <si>
    <t>Pre $</t>
  </si>
  <si>
    <t>how much eq is converted, since its &lt; the cap?</t>
  </si>
  <si>
    <t>VC</t>
  </si>
  <si>
    <t>Post $ Option Pool</t>
  </si>
  <si>
    <t>Approach to prevent liquidation preference</t>
  </si>
  <si>
    <t>convert the promissory notes into a separate class of preferred stock at an agreed discounted share price</t>
  </si>
  <si>
    <t>but keep the share price paid to match the liquidation preference effective share price</t>
  </si>
  <si>
    <t>Note</t>
  </si>
  <si>
    <t>Series A PPS</t>
  </si>
  <si>
    <t>Discount</t>
  </si>
  <si>
    <t>PPS converted</t>
  </si>
  <si>
    <t>Val at Conver</t>
  </si>
  <si>
    <t>1x Liq Pref Premium</t>
  </si>
  <si>
    <t>convert the promissory notes into the same class of preferred stock as investors. Works well if there are many noteholders who are not well represented</t>
  </si>
  <si>
    <t>but establish the liq pref rights per share by reference to documents external to the charter in the case of Delaware that may have statutory blocking rights</t>
  </si>
  <si>
    <t>DE General Corp Law permits external reference under Sect. 102(d)</t>
  </si>
  <si>
    <t>Enables different shareholders wi the same Series A Pref class to have diff liq prefs per share, and minimize or eliminate the premium</t>
  </si>
  <si>
    <t>convert the promissory notes into the same class of preferred stock as investors at the same PPS</t>
  </si>
  <si>
    <t>but issue common instead of Pf Shs</t>
  </si>
  <si>
    <t>Ownership premium as common</t>
  </si>
  <si>
    <t>Pf Sh</t>
  </si>
  <si>
    <t>Pf Sh Value</t>
  </si>
  <si>
    <t>Val of Cm Sh</t>
  </si>
  <si>
    <t>may have IRC 409A problems</t>
  </si>
  <si>
    <t>the convertible note could be issued along with warrants to purchase an additional 25,000 shares of stock.</t>
  </si>
  <si>
    <t>The issued warrant could be for common stock at a nominal exercise price, or for preferred stock at an exercise price per share equal to the price paid per share by new investors in the equity round. </t>
  </si>
  <si>
    <t>Liq Pref premium is eliminated</t>
  </si>
  <si>
    <t>.</t>
  </si>
  <si>
    <t>**</t>
  </si>
  <si>
    <t>If Participating, then Pf Sh get dividends, if not Participating, then no dividends</t>
  </si>
  <si>
    <t>sh</t>
  </si>
  <si>
    <t>% ownshp*tot shs</t>
  </si>
  <si>
    <t>pps</t>
  </si>
  <si>
    <t>$/sh</t>
  </si>
  <si>
    <t>If liquidation event, then Participating gets an extra premium, as follows:</t>
  </si>
  <si>
    <t>% ownshp</t>
  </si>
  <si>
    <t>sh/tot shs</t>
  </si>
  <si>
    <t>$</t>
  </si>
  <si>
    <t>sh*pps</t>
  </si>
  <si>
    <t>plus Pf Sh get 20% of the remainder</t>
  </si>
  <si>
    <t>tot shs</t>
  </si>
  <si>
    <t>sh/% ownshp</t>
  </si>
  <si>
    <t>$/pps</t>
  </si>
  <si>
    <t>Pref Sh Val</t>
  </si>
  <si>
    <t>Pref % of Val</t>
  </si>
  <si>
    <t>CS % of val</t>
  </si>
  <si>
    <t>TDI Sold</t>
  </si>
  <si>
    <t>Pf Sh get</t>
  </si>
  <si>
    <t>Total Pf Payday</t>
  </si>
  <si>
    <t>conversion price of the convertible security</t>
  </si>
  <si>
    <t>PPS Pf S/Conversion Ratio</t>
  </si>
  <si>
    <t>PPS Pf S</t>
  </si>
  <si>
    <t>conversion price*conversion ratio</t>
  </si>
  <si>
    <t>conversion ratio</t>
  </si>
  <si>
    <t>PPS Pf  Sh/conversion price</t>
  </si>
  <si>
    <t>conversion value</t>
  </si>
  <si>
    <t>PPS Pf*conversion ratio</t>
  </si>
  <si>
    <r>
      <t xml:space="preserve"> Your money will convert at the discount, with a maximum price of $8 million </t>
    </r>
    <r>
      <rPr>
        <b/>
        <i/>
        <sz val="11"/>
        <color rgb="FF3E433E"/>
        <rFont val="Arial"/>
        <family val="2"/>
      </rPr>
      <t>pre-money</t>
    </r>
    <r>
      <rPr>
        <b/>
        <sz val="11"/>
        <color rgb="FF3E433E"/>
        <rFont val="Arial"/>
        <family val="2"/>
      </rPr>
      <t xml:space="preserve"> valuation </t>
    </r>
  </si>
  <si>
    <t>PPS*Shs Issued (new shares)</t>
  </si>
  <si>
    <t>PV at time-zero/10m shs</t>
  </si>
  <si>
    <t>Event #1</t>
  </si>
  <si>
    <t>Event #2</t>
  </si>
  <si>
    <t>VC Investment/New Shares Issued</t>
  </si>
  <si>
    <t>Immediately prior to VC $</t>
  </si>
  <si>
    <t>Wrong assumption FOR Each scenario</t>
  </si>
  <si>
    <t>Conversion Val</t>
  </si>
  <si>
    <t>New Shs Issued</t>
  </si>
  <si>
    <t>VC Investment/PPS</t>
  </si>
  <si>
    <t>Q: how many shares should I issue the VC firm?</t>
  </si>
  <si>
    <t>note</t>
  </si>
  <si>
    <t>% TDI owned</t>
  </si>
  <si>
    <t>Later Raise</t>
  </si>
  <si>
    <t>% of TDI now</t>
  </si>
  <si>
    <t>Series A  Raise</t>
  </si>
  <si>
    <t>Pre $ Val</t>
  </si>
  <si>
    <t>1x liq pref</t>
  </si>
  <si>
    <t>Pre $ Val/# Pre $ Shs</t>
  </si>
  <si>
    <t>A: New Shares Issued = Venture Capital Investment/Share Price</t>
  </si>
  <si>
    <t>Pre $ Value</t>
  </si>
  <si>
    <t>PPS*# Pre $ Shs</t>
  </si>
  <si>
    <t>Shares issued</t>
  </si>
  <si>
    <t># Pre $ Shs</t>
  </si>
  <si>
    <t>Pre $ value/PPS</t>
  </si>
  <si>
    <t>which is the Post-money valuation</t>
  </si>
  <si>
    <t>Post $ value less VC investment</t>
  </si>
  <si>
    <t>for 30% of TDI</t>
  </si>
  <si>
    <t>Post $ Value</t>
  </si>
  <si>
    <t>Pre $ value+VC investment</t>
  </si>
  <si>
    <t>Pre-money Valuation</t>
  </si>
  <si>
    <t>Full Ratchet (RAT SHIT)</t>
  </si>
  <si>
    <t>Post $ value less Pre $ value</t>
  </si>
  <si>
    <t>VC PPS</t>
  </si>
  <si>
    <t>% Co VC owns</t>
  </si>
  <si>
    <t xml:space="preserve">PPS TDI Later </t>
  </si>
  <si>
    <t>VC now owns</t>
  </si>
  <si>
    <t>Post $ Valuation</t>
  </si>
  <si>
    <t>VC investment/VC Fund Ownership %</t>
  </si>
  <si>
    <t>plus the full value of the discount</t>
  </si>
  <si>
    <t>Post $ Value*VC Fund Ownership %</t>
  </si>
  <si>
    <t>VC Fund Ownership %</t>
  </si>
  <si>
    <t>VC Investment/Post $ value</t>
  </si>
  <si>
    <t>Q: how much would TDI give up in exchange for the $4M?</t>
  </si>
  <si>
    <t xml:space="preserve">Weighted-average ratchets (broad-based or narrow) </t>
  </si>
  <si>
    <t>Post $ Shs</t>
  </si>
  <si>
    <t>Pre $ Shs + Shs Issued</t>
  </si>
  <si>
    <t>$10M=$4M/VC %</t>
  </si>
  <si>
    <t>Only convert a portion of Investor A’s stock to the new price a</t>
  </si>
  <si>
    <t>Pre $ Shs</t>
  </si>
  <si>
    <t>Post $ Shs less Shs Issued</t>
  </si>
  <si>
    <t>the formula is based upon how much new money comes in at a lower price, and how low that price is. It has nowhere near the same dilutive effects</t>
  </si>
  <si>
    <t>Shs Issued</t>
  </si>
  <si>
    <t>Post $ Shs less Pre $ Shs</t>
  </si>
  <si>
    <t>% VC owns</t>
  </si>
  <si>
    <t>Shares Issued/Post-money Shs</t>
  </si>
  <si>
    <t>% VC owns*Pos $ Shs</t>
  </si>
  <si>
    <t>1 yr after CN</t>
  </si>
  <si>
    <t>Shs Issued/% VC owns</t>
  </si>
  <si>
    <t>% Individ Ownership</t>
  </si>
  <si>
    <t>Individual Investment Amt/ Post $ Valuation for the entire deal.</t>
  </si>
  <si>
    <t>Annual Dividend</t>
  </si>
  <si>
    <t>Individual Investment</t>
  </si>
  <si>
    <t>% Indiv Ownshp*Post $ Valuation for the entire deal</t>
  </si>
  <si>
    <t>LP</t>
  </si>
  <si>
    <t>1X</t>
  </si>
  <si>
    <t>Post $ Valuation for the entire deal</t>
  </si>
  <si>
    <t>Indiv Investment/% Individ Onwership</t>
  </si>
  <si>
    <t>Sold for</t>
  </si>
  <si>
    <t>3 yrs. aft Ser A</t>
  </si>
  <si>
    <t>% VC Owns</t>
  </si>
  <si>
    <t>Investment/Post $ Valuation = VC Investment/(Pre $ Valuation + VC Investment)</t>
  </si>
  <si>
    <t>Distributions</t>
  </si>
  <si>
    <t>PPS is easier to calculate with Pre $ numbers</t>
  </si>
  <si>
    <t>Sale price</t>
  </si>
  <si>
    <t>% VC owns is easier to calculate with Post $ numbers</t>
  </si>
  <si>
    <t>Trxn Fees</t>
  </si>
  <si>
    <t>Switch back and forth by adding or subtracting the amount of investment</t>
  </si>
  <si>
    <t>Series A LP</t>
  </si>
  <si>
    <t>PPS is the same before and after the deal</t>
  </si>
  <si>
    <t>Series A Dividend</t>
  </si>
  <si>
    <t>($M*8%*3 yrs.)</t>
  </si>
  <si>
    <t>For a subsequent financing, to keep the share price flat,</t>
  </si>
  <si>
    <t>Remainder</t>
  </si>
  <si>
    <t>the pre-money valuation of the new investment must be the same as the post-money valuation of the prior investment.</t>
  </si>
  <si>
    <t>CS Distribution VC</t>
  </si>
  <si>
    <t>CS Distribution CS</t>
  </si>
  <si>
    <t>60% Common Holders</t>
  </si>
  <si>
    <t>1st-split founders stock</t>
  </si>
  <si>
    <t>Same as above but with a CN seed round</t>
  </si>
  <si>
    <t>Must determine the valuation or how much TDI is worth, in order to price shares</t>
  </si>
  <si>
    <t>CN</t>
  </si>
  <si>
    <t>Typically in the stock market: a PPS is agreed on and them multiplied by all outstanding shares</t>
  </si>
  <si>
    <t>IR</t>
  </si>
  <si>
    <t>subtotal</t>
  </si>
  <si>
    <t xml:space="preserve">VC wants </t>
  </si>
  <si>
    <t>Sale Price</t>
  </si>
  <si>
    <t>Valuation</t>
  </si>
  <si>
    <t>CN LP</t>
  </si>
  <si>
    <t>pre</t>
  </si>
  <si>
    <t>Series A VC LP</t>
  </si>
  <si>
    <t>Since TDI is early seed stage, a valuation can't be set, and CNs allow loans without setting a valuation</t>
  </si>
  <si>
    <t>S A</t>
  </si>
  <si>
    <t>CN Hs say: here is the loan $, and when the Series A occurs, set a valuation and use that to issue me the right # shs.</t>
  </si>
  <si>
    <t>For waiting, the CN Hs get a discount or cap</t>
  </si>
  <si>
    <t>Subtotal Remainder</t>
  </si>
  <si>
    <t>post</t>
  </si>
  <si>
    <t>Common Distributions</t>
  </si>
  <si>
    <t>Seed Round</t>
  </si>
  <si>
    <t>Angels</t>
  </si>
  <si>
    <t>Common CN H</t>
  </si>
  <si>
    <t>TBD</t>
  </si>
  <si>
    <t>Common VC</t>
  </si>
  <si>
    <t>$X plus Discount</t>
  </si>
  <si>
    <t>Total Series A Distribution</t>
  </si>
  <si>
    <t>Expected</t>
  </si>
  <si>
    <t>CN Discount</t>
  </si>
  <si>
    <t xml:space="preserve">Partial Pro Rata Distribution to a 1X Cap i.e., a doubling of the PPS Pf at conversion. </t>
  </si>
  <si>
    <t>Founders Originally Issued</t>
  </si>
  <si>
    <t>For ex., return the basis, an aggregate of two times the purchase price.</t>
  </si>
  <si>
    <t>FA</t>
  </si>
  <si>
    <t>shares</t>
  </si>
  <si>
    <t>FB</t>
  </si>
  <si>
    <t>1X LP Distribution, with partial participation rights up to the 1X</t>
  </si>
  <si>
    <t xml:space="preserve">Meaning, Series A get their $5M investment out first, then plus 20% of the remaining $35M. </t>
  </si>
  <si>
    <t>Initial Ownership</t>
  </si>
  <si>
    <t>Assum: $5M Series A investment, $20M Pre Value resulting in VC owning 20%, sold for $40M.</t>
  </si>
  <si>
    <t>1,000,000 + TBD</t>
  </si>
  <si>
    <t>Pre Value</t>
  </si>
  <si>
    <t>Founders and VC agree to give up 20% for $7.14M</t>
  </si>
  <si>
    <t>Post Value</t>
  </si>
  <si>
    <t>Sold</t>
  </si>
  <si>
    <t>Less 1X LP</t>
  </si>
  <si>
    <t>Distributable</t>
  </si>
  <si>
    <t>Updated Shs Status</t>
  </si>
  <si>
    <t>VC Participation Rights to a Cap</t>
  </si>
  <si>
    <t>Didn’t hit the Cap, which is $10M=$5M+$5M</t>
  </si>
  <si>
    <t>Now calculate the PPS: VC paid $7.14M and got 2.029MShs: VC Investment/New Shares Issued</t>
  </si>
  <si>
    <t>To other owners</t>
  </si>
  <si>
    <t>VC Total</t>
  </si>
  <si>
    <t>20% grew to 30%</t>
  </si>
  <si>
    <t>2X LP Distribution</t>
  </si>
  <si>
    <t>Now for the Angel Math: Angels get rolled up into the Series A. Got a 20% Discount, and purchased Shs at PPS=$2.81</t>
  </si>
  <si>
    <t>Q: 1st--How much does the Angel pay for  share, its PPS?; 2nd--how many shares does its loan purchase?</t>
  </si>
  <si>
    <t>Employees</t>
  </si>
  <si>
    <t>Loan</t>
  </si>
  <si>
    <t>Less 2X LP</t>
  </si>
  <si>
    <t>2 times Ini. Invest</t>
  </si>
  <si>
    <t>Angels get to purchase shares for how much?</t>
  </si>
  <si>
    <t xml:space="preserve">VC Participation </t>
  </si>
  <si>
    <t>Partial participation share (no cap mentioned)</t>
  </si>
  <si>
    <t>Total VC</t>
  </si>
  <si>
    <t>50% grew to 67%</t>
  </si>
  <si>
    <t>So, VC gets a 1X or its original investment, or a 2X or twice its orig. investment, plus % of the remainder.</t>
  </si>
  <si>
    <t># Shs</t>
  </si>
  <si>
    <t>The CN transforms into 1.38MK Shs</t>
  </si>
  <si>
    <t>When "participating", the Pf S Holders get a portion of the Distributable "as converted to CS".</t>
  </si>
  <si>
    <t>How many Shs are outstanding?</t>
  </si>
  <si>
    <t>Valuation Cap Conversion</t>
  </si>
  <si>
    <t>shares outstanding</t>
  </si>
  <si>
    <t>FD CS</t>
  </si>
  <si>
    <t>Now we need to know the Pre $ or Post $ to calculate the PPS, all said and done.</t>
  </si>
  <si>
    <t>Val Cap</t>
  </si>
  <si>
    <t>Q: When do the Notes convert?</t>
  </si>
  <si>
    <t>A: when PPS =&gt;&gt;&gt;</t>
  </si>
  <si>
    <t>Shares Outstanding</t>
  </si>
  <si>
    <t>PPS for new vestors</t>
  </si>
  <si>
    <t xml:space="preserve">basis </t>
  </si>
  <si>
    <t>Q: How may sh will the CN convert into?</t>
  </si>
  <si>
    <t>A:</t>
  </si>
  <si>
    <t>Size of Round+Pre $ Value</t>
  </si>
  <si>
    <t>A: Assume: the CN H LP is $1M, how to value the LP?</t>
  </si>
  <si>
    <t>Post $ Value less Size of Round</t>
  </si>
  <si>
    <t>CN H get &gt;&gt;&gt;</t>
  </si>
  <si>
    <t>Size of Round</t>
  </si>
  <si>
    <t>Post $ Value less Pre $ Value</t>
  </si>
  <si>
    <t>ROI: LP/Init Inves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</si>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</sst>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000_);_(&quot;$&quot;* \(#,##0.000\);_(&quot;$&quot;* &quot;-&quot;???_);_(@_)"/>
    <numFmt numFmtId="166" formatCode="_(&quot;$&quot;* #,##0.000_);_(&quot;$&quot;* \(#,##0.000\);_(&quot;$&quot;* &quot;-&quot;??_);_(@_)"/>
    <numFmt numFmtId="167" formatCode="_(&quot;$&quot;* #,##0_);_(&quot;$&quot;* \(#,##0\);_(&quot;$&quot;* &quot;-&quot;??_);_(@_)"/>
    <numFmt numFmtId="168" formatCode="0.0%"/>
    <numFmt numFmtId="169" formatCode="_-[$$-409]* #,##0_ ;_-[$$-409]* \-#,##0\ ;_-[$$-409]* &quot;-&quot;_ ;_-@_ "/>
    <numFmt numFmtId="170" formatCode="0.000%"/>
    <numFmt numFmtId="171" formatCode="_(&quot;$&quot;* #,##0.0000_);_(&quot;$&quot;* \(#,##0.0000\);_(&quot;$&quot;* &quot;-&quot;??_);_(@_)"/>
    <numFmt numFmtId="172" formatCode="0.0000%"/>
    <numFmt numFmtId="173" formatCode="_(&quot;$&quot;* #,##0_);_(&quot;$&quot;* \(#,##0\);_(&quot;$&quot;* &quot;-&quot;?_);_(@_)"/>
    <numFmt numFmtId="174" formatCode="_(* #,##0.0_);_(* \(#,##0.0\);_(* &quot;-&quot;??_);_(@_)"/>
    <numFmt numFmtId="175" formatCode="_(&quot;$&quot;* #,##0.0_);_(&quot;$&quot;* \(#,##0.0\);_(&quot;$&quot;* &quot;-&quot;??_);_(@_)"/>
    <numFmt numFmtId="176" formatCode="0.0"/>
  </numFmts>
  <fonts count="28" x14ac:knownFonts="1">
    <font>
      <sz val="12"/>
      <color theme="1"/>
      <name val="Calibri"/>
      <family val="2"/>
      <scheme val="minor"/>
    </font>
    <font>
      <sz val="12"/>
      <color theme="1"/>
      <name val="Calibri"/>
      <family val="2"/>
      <scheme val="minor"/>
    </font>
    <font>
      <sz val="12"/>
      <color rgb="FF006100"/>
      <name val="Calibri"/>
      <family val="2"/>
      <scheme val="minor"/>
    </font>
    <font>
      <sz val="12"/>
      <color rgb="FF9C0006"/>
      <name val="Calibri"/>
      <family val="2"/>
      <scheme val="minor"/>
    </font>
    <font>
      <b/>
      <sz val="12"/>
      <color theme="1"/>
      <name val="Calibri"/>
      <family val="2"/>
      <scheme val="minor"/>
    </font>
    <font>
      <sz val="11"/>
      <color theme="1"/>
      <name val="Arial"/>
      <family val="2"/>
    </font>
    <font>
      <b/>
      <sz val="11"/>
      <color theme="1"/>
      <name val="Arial"/>
      <family val="2"/>
    </font>
    <font>
      <sz val="11"/>
      <color rgb="FFFF0000"/>
      <name val="Arial"/>
      <family val="2"/>
    </font>
    <font>
      <b/>
      <sz val="11"/>
      <color rgb="FF000000"/>
      <name val="Arial"/>
      <family val="2"/>
    </font>
    <font>
      <sz val="11"/>
      <color rgb="FF000000"/>
      <name val="Arial"/>
      <family val="2"/>
    </font>
    <font>
      <sz val="11"/>
      <name val="Arial"/>
      <family val="2"/>
    </font>
    <font>
      <sz val="11"/>
      <color rgb="FF9C0006"/>
      <name val="Arial"/>
      <family val="2"/>
    </font>
    <font>
      <i/>
      <sz val="11"/>
      <color rgb="FF000000"/>
      <name val="Arial"/>
      <family val="2"/>
    </font>
    <font>
      <sz val="11"/>
      <color rgb="FF333333"/>
      <name val="Arial"/>
      <family val="2"/>
    </font>
    <font>
      <i/>
      <sz val="11"/>
      <color rgb="FF333333"/>
      <name val="Arial"/>
      <family val="2"/>
    </font>
    <font>
      <sz val="10"/>
      <name val="Verdana"/>
      <family val="2"/>
    </font>
    <font>
      <i/>
      <sz val="11"/>
      <color theme="1"/>
      <name val="Arial"/>
      <family val="2"/>
    </font>
    <font>
      <sz val="11"/>
      <color rgb="FF222222"/>
      <name val="Arial"/>
      <family val="2"/>
    </font>
    <font>
      <sz val="11"/>
      <color rgb="FF212121"/>
      <name val="Arial"/>
      <family val="2"/>
    </font>
    <font>
      <b/>
      <sz val="11"/>
      <name val="Arial"/>
      <family val="2"/>
    </font>
    <font>
      <b/>
      <sz val="11"/>
      <color rgb="FFFF0000"/>
      <name val="Arial"/>
      <family val="2"/>
    </font>
    <font>
      <sz val="11"/>
      <color rgb="FF414042"/>
      <name val="Arial"/>
      <family val="2"/>
    </font>
    <font>
      <sz val="11"/>
      <color rgb="FF666B6B"/>
      <name val="Arial"/>
      <family val="2"/>
    </font>
    <font>
      <sz val="11"/>
      <color rgb="FF006100"/>
      <name val="Arial"/>
      <family val="2"/>
    </font>
    <font>
      <b/>
      <sz val="11"/>
      <color rgb="FF3E433E"/>
      <name val="Arial"/>
      <family val="2"/>
    </font>
    <font>
      <b/>
      <i/>
      <sz val="11"/>
      <color rgb="FF3E433E"/>
      <name val="Arial"/>
      <family val="2"/>
    </font>
    <font>
      <sz val="11"/>
      <color rgb="FF3E433E"/>
      <name val="Arial"/>
      <family val="2"/>
    </font>
    <font>
      <b/>
      <sz val="11"/>
      <color rgb="FF9C0006"/>
      <name val="Arial"/>
      <family val="2"/>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0"/>
        <bgColor rgb="FF000000"/>
      </patternFill>
    </fill>
    <fill>
      <patternFill patternType="solid">
        <fgColor theme="7" tint="0.59999389629810485"/>
        <bgColor indexed="64"/>
      </patternFill>
    </fill>
  </fills>
  <borders count="34">
    <border>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15" fillId="0" borderId="0"/>
  </cellStyleXfs>
  <cellXfs count="439">
    <xf numFmtId="0" fontId="0" fillId="0" borderId="0" xfId="0"/>
    <xf numFmtId="0" fontId="5" fillId="4" borderId="0" xfId="0" applyFont="1" applyFill="1" applyAlignment="1">
      <alignment vertical="center"/>
    </xf>
    <xf numFmtId="0" fontId="5" fillId="4" borderId="1" xfId="0" applyFont="1" applyFill="1" applyBorder="1" applyAlignment="1">
      <alignment vertical="center"/>
    </xf>
    <xf numFmtId="0" fontId="5" fillId="0" borderId="0" xfId="0" applyFont="1" applyAlignment="1">
      <alignment vertical="center"/>
    </xf>
    <xf numFmtId="0" fontId="5" fillId="5" borderId="0" xfId="0" applyFont="1" applyFill="1" applyAlignment="1">
      <alignment vertical="center"/>
    </xf>
    <xf numFmtId="0" fontId="5" fillId="4" borderId="3" xfId="0" applyFont="1" applyFill="1" applyBorder="1" applyAlignment="1">
      <alignment vertical="center"/>
    </xf>
    <xf numFmtId="0" fontId="5" fillId="4" borderId="4" xfId="0" applyFont="1" applyFill="1" applyBorder="1" applyAlignment="1">
      <alignment vertical="center"/>
    </xf>
    <xf numFmtId="0" fontId="5" fillId="0" borderId="0" xfId="0" applyFont="1" applyAlignment="1">
      <alignment horizontal="right" vertical="center"/>
    </xf>
    <xf numFmtId="0" fontId="6" fillId="0" borderId="0" xfId="0" applyFont="1" applyAlignment="1">
      <alignment vertical="center"/>
    </xf>
    <xf numFmtId="0" fontId="5" fillId="6" borderId="0" xfId="0" applyFont="1" applyFill="1" applyAlignment="1">
      <alignment vertical="center"/>
    </xf>
    <xf numFmtId="43" fontId="5" fillId="4" borderId="0" xfId="1" applyFont="1" applyFill="1" applyBorder="1" applyAlignment="1">
      <alignment horizontal="right" vertical="center"/>
    </xf>
    <xf numFmtId="0" fontId="5" fillId="4" borderId="6" xfId="0" applyFont="1" applyFill="1" applyBorder="1" applyAlignment="1">
      <alignment vertical="center"/>
    </xf>
    <xf numFmtId="0" fontId="7" fillId="4" borderId="3" xfId="0" applyFont="1" applyFill="1" applyBorder="1" applyAlignment="1">
      <alignment vertical="center"/>
    </xf>
    <xf numFmtId="0" fontId="8" fillId="7" borderId="2" xfId="0" applyFont="1" applyFill="1" applyBorder="1" applyAlignment="1">
      <alignment vertical="center"/>
    </xf>
    <xf numFmtId="0" fontId="9" fillId="7" borderId="3" xfId="0" applyFont="1" applyFill="1" applyBorder="1" applyAlignment="1">
      <alignment vertical="center"/>
    </xf>
    <xf numFmtId="0" fontId="5" fillId="4" borderId="5" xfId="0" applyFont="1" applyFill="1" applyBorder="1" applyAlignment="1">
      <alignment vertical="center"/>
    </xf>
    <xf numFmtId="43" fontId="5" fillId="4" borderId="5" xfId="1" applyFont="1" applyFill="1" applyBorder="1" applyAlignment="1">
      <alignment vertical="center"/>
    </xf>
    <xf numFmtId="0" fontId="9" fillId="7" borderId="5" xfId="0" applyFont="1" applyFill="1" applyBorder="1" applyAlignment="1">
      <alignment vertical="center"/>
    </xf>
    <xf numFmtId="43" fontId="10" fillId="7" borderId="0" xfId="1" applyFont="1" applyFill="1" applyBorder="1" applyAlignment="1">
      <alignment horizontal="right" vertical="center"/>
    </xf>
    <xf numFmtId="9" fontId="7" fillId="7" borderId="7" xfId="0" applyNumberFormat="1" applyFont="1" applyFill="1" applyBorder="1" applyAlignment="1">
      <alignment horizontal="center" vertical="center"/>
    </xf>
    <xf numFmtId="0" fontId="9" fillId="7" borderId="0" xfId="0" applyFont="1" applyFill="1" applyAlignment="1">
      <alignment vertical="center"/>
    </xf>
    <xf numFmtId="43" fontId="5" fillId="4" borderId="5" xfId="1" applyFont="1" applyFill="1" applyBorder="1" applyAlignment="1">
      <alignment horizontal="right" vertical="center"/>
    </xf>
    <xf numFmtId="43" fontId="9" fillId="7" borderId="0" xfId="1" applyFont="1" applyFill="1" applyBorder="1" applyAlignment="1">
      <alignment horizontal="right" vertical="center"/>
    </xf>
    <xf numFmtId="0" fontId="9" fillId="7" borderId="0" xfId="0" applyFont="1" applyFill="1" applyAlignment="1">
      <alignment horizontal="center" vertical="center"/>
    </xf>
    <xf numFmtId="43" fontId="5" fillId="4" borderId="8" xfId="1" applyFont="1" applyFill="1" applyBorder="1" applyAlignment="1">
      <alignment horizontal="right" vertical="center"/>
    </xf>
    <xf numFmtId="10" fontId="5" fillId="4" borderId="7" xfId="3" applyNumberFormat="1" applyFont="1" applyFill="1" applyBorder="1" applyAlignment="1">
      <alignment horizontal="center" vertical="center"/>
    </xf>
    <xf numFmtId="0" fontId="11" fillId="4" borderId="0" xfId="5" applyFont="1" applyFill="1" applyBorder="1" applyAlignment="1">
      <alignment vertical="center"/>
    </xf>
    <xf numFmtId="10" fontId="9" fillId="7" borderId="0" xfId="0" applyNumberFormat="1" applyFont="1" applyFill="1" applyAlignment="1">
      <alignment horizontal="center" vertical="center"/>
    </xf>
    <xf numFmtId="8" fontId="5" fillId="0" borderId="0" xfId="0" applyNumberFormat="1" applyFont="1" applyAlignment="1">
      <alignment vertical="center"/>
    </xf>
    <xf numFmtId="0" fontId="7" fillId="4" borderId="0" xfId="0" applyFont="1" applyFill="1" applyAlignment="1">
      <alignment vertical="center"/>
    </xf>
    <xf numFmtId="44" fontId="9" fillId="7" borderId="0" xfId="0" applyNumberFormat="1" applyFont="1" applyFill="1" applyAlignment="1">
      <alignment horizontal="center" vertical="center"/>
    </xf>
    <xf numFmtId="0" fontId="5" fillId="4" borderId="8" xfId="0" applyFont="1" applyFill="1" applyBorder="1" applyAlignment="1">
      <alignment vertical="center"/>
    </xf>
    <xf numFmtId="0" fontId="5" fillId="4" borderId="9" xfId="0" applyFont="1" applyFill="1" applyBorder="1" applyAlignment="1">
      <alignment vertical="center"/>
    </xf>
    <xf numFmtId="0" fontId="13" fillId="0" borderId="0" xfId="0" applyFont="1" applyAlignment="1">
      <alignment vertical="center"/>
    </xf>
    <xf numFmtId="0" fontId="6" fillId="0" borderId="0" xfId="0" applyFont="1" applyAlignment="1">
      <alignment horizontal="center" vertical="center"/>
    </xf>
    <xf numFmtId="0" fontId="5" fillId="4" borderId="7" xfId="0" applyFont="1" applyFill="1" applyBorder="1" applyAlignment="1">
      <alignment vertical="center"/>
    </xf>
    <xf numFmtId="6" fontId="5" fillId="0" borderId="0" xfId="0" applyNumberFormat="1" applyFont="1" applyAlignment="1">
      <alignment vertical="center"/>
    </xf>
    <xf numFmtId="9" fontId="6" fillId="0" borderId="0" xfId="3" applyFont="1" applyFill="1" applyBorder="1" applyAlignment="1">
      <alignment horizontal="center" vertical="center"/>
    </xf>
    <xf numFmtId="167" fontId="5" fillId="4" borderId="0" xfId="2" applyNumberFormat="1" applyFont="1" applyFill="1" applyBorder="1" applyAlignment="1">
      <alignment vertical="center"/>
    </xf>
    <xf numFmtId="43" fontId="6" fillId="4" borderId="0" xfId="1" applyFont="1" applyFill="1" applyBorder="1" applyAlignment="1">
      <alignment horizontal="right" vertical="center"/>
    </xf>
    <xf numFmtId="168" fontId="5" fillId="0" borderId="0" xfId="3" applyNumberFormat="1" applyFont="1" applyFill="1" applyBorder="1" applyAlignment="1">
      <alignment horizontal="center" vertical="center"/>
    </xf>
    <xf numFmtId="167" fontId="5" fillId="4" borderId="0" xfId="0" applyNumberFormat="1" applyFont="1" applyFill="1" applyAlignment="1">
      <alignment vertical="center"/>
    </xf>
    <xf numFmtId="0" fontId="6" fillId="0" borderId="0" xfId="0" applyFont="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4" borderId="10" xfId="0" applyFont="1" applyFill="1" applyBorder="1" applyAlignment="1">
      <alignment vertical="center"/>
    </xf>
    <xf numFmtId="0" fontId="5" fillId="4" borderId="13" xfId="0" applyFont="1" applyFill="1" applyBorder="1" applyAlignment="1">
      <alignment vertical="center"/>
    </xf>
    <xf numFmtId="0" fontId="5" fillId="0" borderId="14" xfId="0" applyFont="1" applyBorder="1" applyAlignment="1">
      <alignment vertical="center"/>
    </xf>
    <xf numFmtId="0" fontId="5" fillId="0" borderId="9" xfId="0" applyFont="1" applyBorder="1" applyAlignment="1">
      <alignment vertical="center"/>
    </xf>
    <xf numFmtId="0" fontId="6" fillId="4" borderId="0" xfId="0" applyFont="1" applyFill="1" applyAlignment="1">
      <alignment vertical="center"/>
    </xf>
    <xf numFmtId="43" fontId="6" fillId="8" borderId="0" xfId="1" applyFont="1" applyFill="1" applyBorder="1" applyAlignment="1">
      <alignment horizontal="right" vertical="center"/>
    </xf>
    <xf numFmtId="170" fontId="6" fillId="4" borderId="0" xfId="3" applyNumberFormat="1" applyFont="1" applyFill="1" applyBorder="1" applyAlignment="1">
      <alignment horizontal="center" vertical="center"/>
    </xf>
    <xf numFmtId="43" fontId="5" fillId="4" borderId="0" xfId="1" applyFont="1" applyFill="1" applyBorder="1" applyAlignment="1">
      <alignment vertical="center"/>
    </xf>
    <xf numFmtId="0" fontId="5" fillId="4" borderId="0" xfId="0" applyFont="1" applyFill="1" applyAlignment="1">
      <alignment horizontal="right" vertical="center"/>
    </xf>
    <xf numFmtId="168" fontId="5" fillId="4" borderId="0" xfId="3" applyNumberFormat="1" applyFont="1" applyFill="1" applyBorder="1" applyAlignment="1">
      <alignment horizontal="center" vertical="center"/>
    </xf>
    <xf numFmtId="43" fontId="9" fillId="7" borderId="0" xfId="1" applyFont="1" applyFill="1" applyBorder="1" applyAlignment="1">
      <alignment vertical="center"/>
    </xf>
    <xf numFmtId="43" fontId="5" fillId="4" borderId="9" xfId="1" applyFont="1" applyFill="1" applyBorder="1" applyAlignment="1">
      <alignment vertical="center"/>
    </xf>
    <xf numFmtId="43" fontId="6" fillId="4" borderId="2" xfId="1" applyFont="1" applyFill="1" applyBorder="1" applyAlignment="1">
      <alignment vertical="center"/>
    </xf>
    <xf numFmtId="43" fontId="6" fillId="4" borderId="3" xfId="1" applyFont="1" applyFill="1" applyBorder="1" applyAlignment="1">
      <alignment horizontal="right" vertical="center"/>
    </xf>
    <xf numFmtId="170" fontId="6" fillId="4" borderId="3" xfId="3" applyNumberFormat="1" applyFont="1" applyFill="1" applyBorder="1" applyAlignment="1">
      <alignment horizontal="center" vertical="center"/>
    </xf>
    <xf numFmtId="43" fontId="5" fillId="4" borderId="3" xfId="1" applyFont="1" applyFill="1" applyBorder="1" applyAlignment="1">
      <alignment vertical="center"/>
    </xf>
    <xf numFmtId="43" fontId="9" fillId="7" borderId="0" xfId="1" applyFont="1" applyFill="1" applyBorder="1" applyAlignment="1">
      <alignment horizontal="left" vertical="center"/>
    </xf>
    <xf numFmtId="0" fontId="6" fillId="4" borderId="0" xfId="0" applyFont="1" applyFill="1" applyAlignment="1">
      <alignment horizontal="center" vertical="center"/>
    </xf>
    <xf numFmtId="0" fontId="6" fillId="4" borderId="7" xfId="0" applyFont="1" applyFill="1" applyBorder="1" applyAlignment="1">
      <alignment horizontal="center" vertical="center"/>
    </xf>
    <xf numFmtId="0" fontId="6" fillId="4" borderId="7" xfId="0" applyFont="1" applyFill="1" applyBorder="1" applyAlignment="1">
      <alignment vertical="center"/>
    </xf>
    <xf numFmtId="0" fontId="6" fillId="4" borderId="15" xfId="0" applyFont="1" applyFill="1" applyBorder="1" applyAlignment="1">
      <alignment horizontal="center" vertical="center"/>
    </xf>
    <xf numFmtId="0" fontId="6" fillId="4" borderId="16" xfId="0" applyFont="1" applyFill="1" applyBorder="1" applyAlignment="1">
      <alignment horizontal="center" vertical="center"/>
    </xf>
    <xf numFmtId="43" fontId="6" fillId="4" borderId="5" xfId="1" applyFont="1" applyFill="1" applyBorder="1" applyAlignment="1">
      <alignment horizontal="right" vertical="center"/>
    </xf>
    <xf numFmtId="167" fontId="1" fillId="4" borderId="0" xfId="5" applyNumberFormat="1" applyFont="1" applyFill="1" applyBorder="1" applyAlignment="1">
      <alignment vertical="center"/>
    </xf>
    <xf numFmtId="167" fontId="6" fillId="4" borderId="17" xfId="2" applyNumberFormat="1" applyFont="1" applyFill="1" applyBorder="1" applyAlignment="1">
      <alignment vertical="center"/>
    </xf>
    <xf numFmtId="9" fontId="6" fillId="4" borderId="0" xfId="3" applyFont="1" applyFill="1" applyBorder="1" applyAlignment="1">
      <alignment horizontal="center" vertical="center"/>
    </xf>
    <xf numFmtId="9" fontId="6" fillId="4" borderId="1" xfId="3" applyFont="1" applyFill="1" applyBorder="1" applyAlignment="1">
      <alignment horizontal="center" vertical="center"/>
    </xf>
    <xf numFmtId="167" fontId="6" fillId="4" borderId="18" xfId="2" applyNumberFormat="1" applyFont="1" applyFill="1" applyBorder="1" applyAlignment="1">
      <alignment vertical="center"/>
    </xf>
    <xf numFmtId="0" fontId="5" fillId="4" borderId="17" xfId="0" applyFont="1" applyFill="1" applyBorder="1" applyAlignment="1">
      <alignment vertical="center"/>
    </xf>
    <xf numFmtId="167" fontId="5" fillId="4" borderId="6" xfId="0" applyNumberFormat="1" applyFont="1" applyFill="1" applyBorder="1" applyAlignment="1">
      <alignment vertical="center"/>
    </xf>
    <xf numFmtId="43" fontId="5" fillId="4" borderId="11" xfId="1" applyFont="1" applyFill="1" applyBorder="1" applyAlignment="1">
      <alignment horizontal="right" vertical="center"/>
    </xf>
    <xf numFmtId="10" fontId="5" fillId="4" borderId="15" xfId="3" applyNumberFormat="1" applyFont="1" applyFill="1" applyBorder="1" applyAlignment="1">
      <alignment horizontal="center" vertical="center"/>
    </xf>
    <xf numFmtId="10" fontId="5" fillId="4" borderId="19" xfId="3" applyNumberFormat="1" applyFont="1" applyFill="1" applyBorder="1" applyAlignment="1">
      <alignment horizontal="center" vertical="center"/>
    </xf>
    <xf numFmtId="43" fontId="6" fillId="8" borderId="20" xfId="1" applyFont="1" applyFill="1" applyBorder="1" applyAlignment="1">
      <alignment horizontal="right" vertical="center"/>
    </xf>
    <xf numFmtId="167" fontId="6" fillId="8" borderId="21" xfId="2" applyNumberFormat="1" applyFont="1" applyFill="1" applyBorder="1" applyAlignment="1">
      <alignment vertical="center"/>
    </xf>
    <xf numFmtId="167" fontId="6" fillId="8" borderId="22" xfId="2" applyNumberFormat="1" applyFont="1" applyFill="1" applyBorder="1" applyAlignment="1">
      <alignment vertical="center"/>
    </xf>
    <xf numFmtId="167" fontId="1" fillId="8" borderId="16" xfId="5" applyNumberFormat="1" applyFont="1" applyFill="1" applyBorder="1" applyAlignment="1">
      <alignment vertical="center"/>
    </xf>
    <xf numFmtId="167" fontId="6" fillId="4" borderId="0" xfId="0" applyNumberFormat="1" applyFont="1" applyFill="1" applyAlignment="1">
      <alignment vertical="center"/>
    </xf>
    <xf numFmtId="43" fontId="4" fillId="4" borderId="5" xfId="1" applyFont="1" applyFill="1" applyBorder="1" applyAlignment="1">
      <alignment horizontal="right" vertical="center"/>
    </xf>
    <xf numFmtId="10" fontId="4" fillId="4" borderId="0" xfId="5" applyNumberFormat="1" applyFont="1" applyFill="1" applyBorder="1" applyAlignment="1">
      <alignment horizontal="center" vertical="center"/>
    </xf>
    <xf numFmtId="43" fontId="5" fillId="4" borderId="0" xfId="1" applyFont="1" applyFill="1" applyBorder="1" applyAlignment="1">
      <alignment horizontal="left" vertical="center"/>
    </xf>
    <xf numFmtId="171" fontId="11" fillId="4" borderId="0" xfId="5" applyNumberFormat="1" applyFont="1" applyFill="1" applyBorder="1" applyAlignment="1">
      <alignment vertical="center"/>
    </xf>
    <xf numFmtId="0" fontId="6" fillId="8" borderId="0" xfId="0" applyFont="1" applyFill="1" applyAlignment="1">
      <alignment vertical="center"/>
    </xf>
    <xf numFmtId="167" fontId="6" fillId="8" borderId="0" xfId="0" applyNumberFormat="1" applyFont="1" applyFill="1" applyAlignment="1">
      <alignment vertical="center"/>
    </xf>
    <xf numFmtId="0" fontId="5" fillId="4" borderId="0" xfId="0" applyFont="1" applyFill="1" applyAlignment="1">
      <alignment horizontal="center" vertical="center"/>
    </xf>
    <xf numFmtId="0" fontId="10" fillId="4" borderId="0" xfId="0" applyFont="1" applyFill="1" applyAlignment="1">
      <alignment horizontal="right" vertical="center"/>
    </xf>
    <xf numFmtId="9" fontId="7" fillId="4" borderId="0" xfId="3" applyFont="1" applyFill="1" applyBorder="1" applyAlignment="1">
      <alignment horizontal="center" vertical="center"/>
    </xf>
    <xf numFmtId="43" fontId="5" fillId="4" borderId="9" xfId="1" applyFont="1" applyFill="1" applyBorder="1" applyAlignment="1">
      <alignment horizontal="right" vertical="center"/>
    </xf>
    <xf numFmtId="44" fontId="5" fillId="4" borderId="9" xfId="2" applyFont="1" applyFill="1" applyBorder="1" applyAlignment="1">
      <alignment vertical="center"/>
    </xf>
    <xf numFmtId="0" fontId="5" fillId="4" borderId="9" xfId="0" applyFont="1" applyFill="1" applyBorder="1" applyAlignment="1">
      <alignment horizontal="right" vertical="center"/>
    </xf>
    <xf numFmtId="0" fontId="5" fillId="4" borderId="9" xfId="0" applyFont="1" applyFill="1" applyBorder="1" applyAlignment="1">
      <alignment horizontal="center" vertical="center"/>
    </xf>
    <xf numFmtId="44" fontId="5" fillId="4" borderId="0" xfId="2" applyFont="1" applyFill="1" applyBorder="1" applyAlignment="1">
      <alignment vertical="center"/>
    </xf>
    <xf numFmtId="167" fontId="6" fillId="4" borderId="3" xfId="0" applyNumberFormat="1" applyFont="1" applyFill="1" applyBorder="1" applyAlignment="1">
      <alignment vertical="center"/>
    </xf>
    <xf numFmtId="0" fontId="6" fillId="4" borderId="3" xfId="0" applyFont="1" applyFill="1" applyBorder="1" applyAlignment="1">
      <alignment horizontal="center" vertical="center"/>
    </xf>
    <xf numFmtId="0" fontId="5" fillId="4" borderId="15" xfId="0" applyFont="1" applyFill="1" applyBorder="1" applyAlignment="1">
      <alignment vertical="center"/>
    </xf>
    <xf numFmtId="0" fontId="5" fillId="4" borderId="6" xfId="0" applyFont="1" applyFill="1" applyBorder="1" applyAlignment="1">
      <alignment horizontal="center" vertical="center"/>
    </xf>
    <xf numFmtId="0" fontId="5" fillId="4" borderId="2" xfId="0" applyFont="1" applyFill="1" applyBorder="1" applyAlignment="1">
      <alignment vertical="center"/>
    </xf>
    <xf numFmtId="2" fontId="5" fillId="4" borderId="6" xfId="1" applyNumberFormat="1" applyFont="1" applyFill="1" applyBorder="1" applyAlignment="1">
      <alignment horizontal="center" vertical="center"/>
    </xf>
    <xf numFmtId="10" fontId="5" fillId="0" borderId="0" xfId="3" applyNumberFormat="1" applyFont="1" applyBorder="1" applyAlignment="1">
      <alignment horizontal="center" vertical="center"/>
    </xf>
    <xf numFmtId="167" fontId="5" fillId="4" borderId="23" xfId="2" applyNumberFormat="1" applyFont="1" applyFill="1" applyBorder="1" applyAlignment="1">
      <alignment vertical="center"/>
    </xf>
    <xf numFmtId="167" fontId="5" fillId="4" borderId="9" xfId="0" applyNumberFormat="1" applyFont="1" applyFill="1" applyBorder="1" applyAlignment="1">
      <alignment vertical="center"/>
    </xf>
    <xf numFmtId="2" fontId="5" fillId="4" borderId="10" xfId="0" applyNumberFormat="1" applyFont="1" applyFill="1" applyBorder="1" applyAlignment="1">
      <alignment horizontal="center" vertical="center"/>
    </xf>
    <xf numFmtId="167" fontId="5" fillId="0" borderId="0" xfId="2" applyNumberFormat="1" applyFont="1" applyAlignment="1">
      <alignment vertical="center"/>
    </xf>
    <xf numFmtId="0" fontId="5" fillId="0" borderId="8" xfId="0" applyFont="1" applyBorder="1" applyAlignment="1">
      <alignment vertical="center"/>
    </xf>
    <xf numFmtId="0" fontId="5" fillId="0" borderId="10" xfId="0" applyFont="1" applyBorder="1" applyAlignment="1">
      <alignment vertical="center"/>
    </xf>
    <xf numFmtId="167" fontId="6" fillId="4" borderId="0" xfId="2" applyNumberFormat="1" applyFont="1" applyFill="1" applyBorder="1" applyAlignment="1">
      <alignment vertical="center"/>
    </xf>
    <xf numFmtId="0" fontId="9" fillId="4" borderId="0" xfId="0" applyFont="1" applyFill="1" applyAlignment="1">
      <alignment vertical="center"/>
    </xf>
    <xf numFmtId="39" fontId="6" fillId="5" borderId="0" xfId="1" applyNumberFormat="1" applyFont="1" applyFill="1" applyBorder="1" applyAlignment="1">
      <alignment horizontal="center" vertical="center"/>
    </xf>
    <xf numFmtId="10" fontId="5" fillId="0" borderId="0" xfId="3" applyNumberFormat="1" applyFont="1" applyBorder="1" applyAlignment="1">
      <alignment vertical="center"/>
    </xf>
    <xf numFmtId="0" fontId="11" fillId="4" borderId="6" xfId="5" applyFont="1" applyFill="1" applyBorder="1" applyAlignment="1">
      <alignment vertical="center"/>
    </xf>
    <xf numFmtId="0" fontId="11" fillId="4" borderId="1" xfId="5" applyFont="1" applyFill="1" applyBorder="1" applyAlignment="1">
      <alignment vertical="center"/>
    </xf>
    <xf numFmtId="0" fontId="11" fillId="0" borderId="0" xfId="5" applyFont="1" applyFill="1" applyBorder="1" applyAlignment="1">
      <alignment vertical="center"/>
    </xf>
    <xf numFmtId="10" fontId="5" fillId="0" borderId="0" xfId="3" applyNumberFormat="1" applyFont="1" applyFill="1" applyBorder="1" applyAlignment="1">
      <alignment horizontal="center" vertical="center"/>
    </xf>
    <xf numFmtId="10" fontId="5" fillId="4" borderId="0" xfId="1" applyNumberFormat="1" applyFont="1" applyFill="1" applyBorder="1" applyAlignment="1">
      <alignment horizontal="center" vertical="center"/>
    </xf>
    <xf numFmtId="10" fontId="5" fillId="4" borderId="7" xfId="0" applyNumberFormat="1" applyFont="1" applyFill="1" applyBorder="1" applyAlignment="1">
      <alignment horizontal="center" vertical="center"/>
    </xf>
    <xf numFmtId="43" fontId="5" fillId="4" borderId="7" xfId="1" applyFont="1" applyFill="1" applyBorder="1" applyAlignment="1">
      <alignment vertical="center"/>
    </xf>
    <xf numFmtId="0" fontId="5" fillId="0" borderId="0" xfId="0" applyFont="1" applyAlignment="1">
      <alignment horizontal="center" vertical="center"/>
    </xf>
    <xf numFmtId="43" fontId="6" fillId="8" borderId="9" xfId="1" applyFont="1" applyFill="1" applyBorder="1" applyAlignment="1">
      <alignment horizontal="right" vertical="center"/>
    </xf>
    <xf numFmtId="167" fontId="6" fillId="8" borderId="9" xfId="0" applyNumberFormat="1" applyFont="1" applyFill="1" applyBorder="1" applyAlignment="1">
      <alignment vertical="center"/>
    </xf>
    <xf numFmtId="9" fontId="6" fillId="4" borderId="9" xfId="0" applyNumberFormat="1" applyFont="1" applyFill="1" applyBorder="1" applyAlignment="1">
      <alignment horizontal="center" vertical="center"/>
    </xf>
    <xf numFmtId="44" fontId="5" fillId="4" borderId="9" xfId="0" applyNumberFormat="1" applyFont="1" applyFill="1" applyBorder="1" applyAlignment="1">
      <alignment vertical="center"/>
    </xf>
    <xf numFmtId="10" fontId="5" fillId="4" borderId="1" xfId="3" applyNumberFormat="1" applyFont="1" applyFill="1" applyBorder="1" applyAlignment="1">
      <alignment horizontal="center" vertical="center"/>
    </xf>
    <xf numFmtId="0" fontId="17" fillId="0" borderId="2" xfId="0" applyFont="1" applyBorder="1" applyAlignment="1">
      <alignment vertical="center"/>
    </xf>
    <xf numFmtId="0" fontId="5" fillId="5" borderId="5" xfId="0" applyFont="1" applyFill="1" applyBorder="1" applyAlignment="1">
      <alignment vertical="center"/>
    </xf>
    <xf numFmtId="0" fontId="5" fillId="5" borderId="6" xfId="0" applyFont="1" applyFill="1" applyBorder="1" applyAlignment="1">
      <alignment vertical="center"/>
    </xf>
    <xf numFmtId="43" fontId="5" fillId="0" borderId="0" xfId="1" applyFont="1" applyFill="1" applyBorder="1" applyAlignment="1">
      <alignment horizontal="right" vertical="center"/>
    </xf>
    <xf numFmtId="167" fontId="5" fillId="0" borderId="0" xfId="5" applyNumberFormat="1" applyFont="1" applyFill="1" applyBorder="1" applyAlignment="1">
      <alignment vertical="center"/>
    </xf>
    <xf numFmtId="43" fontId="5" fillId="0" borderId="0" xfId="1" applyFont="1" applyFill="1" applyBorder="1" applyAlignment="1">
      <alignment horizontal="left" vertical="center"/>
    </xf>
    <xf numFmtId="0" fontId="6" fillId="0" borderId="3" xfId="0" applyFont="1" applyBorder="1" applyAlignment="1">
      <alignment vertical="center"/>
    </xf>
    <xf numFmtId="0" fontId="8" fillId="0" borderId="2" xfId="0" applyFont="1" applyBorder="1" applyAlignment="1">
      <alignment vertical="center"/>
    </xf>
    <xf numFmtId="0" fontId="18" fillId="0" borderId="0" xfId="0" applyFont="1" applyAlignment="1">
      <alignment vertical="center"/>
    </xf>
    <xf numFmtId="0" fontId="11" fillId="3" borderId="0" xfId="5" applyFont="1" applyBorder="1" applyAlignment="1">
      <alignment vertical="center"/>
    </xf>
    <xf numFmtId="164" fontId="10" fillId="5" borderId="0" xfId="0" applyNumberFormat="1" applyFont="1" applyFill="1" applyAlignment="1">
      <alignment vertical="center"/>
    </xf>
    <xf numFmtId="167" fontId="10" fillId="4" borderId="0" xfId="2" applyNumberFormat="1" applyFont="1" applyFill="1" applyAlignment="1">
      <alignment vertical="center"/>
    </xf>
    <xf numFmtId="172" fontId="5" fillId="0" borderId="0" xfId="3" applyNumberFormat="1" applyFont="1" applyFill="1" applyBorder="1" applyAlignment="1">
      <alignment horizontal="center" vertical="center"/>
    </xf>
    <xf numFmtId="172" fontId="6" fillId="0" borderId="0" xfId="3" applyNumberFormat="1" applyFont="1" applyFill="1" applyBorder="1" applyAlignment="1">
      <alignment horizontal="center" vertical="center"/>
    </xf>
    <xf numFmtId="0" fontId="19" fillId="0" borderId="0" xfId="0" applyFont="1" applyAlignment="1">
      <alignment horizontal="center" vertical="center" wrapText="1"/>
    </xf>
    <xf numFmtId="167" fontId="5" fillId="0" borderId="0" xfId="2" applyNumberFormat="1" applyFont="1" applyBorder="1" applyAlignment="1">
      <alignment vertical="center"/>
    </xf>
    <xf numFmtId="0" fontId="5" fillId="5" borderId="1" xfId="0" applyFont="1" applyFill="1" applyBorder="1" applyAlignment="1">
      <alignment vertical="center"/>
    </xf>
    <xf numFmtId="0" fontId="5" fillId="0" borderId="0" xfId="0" applyFont="1" applyAlignment="1">
      <alignment horizontal="center" vertical="center" wrapText="1"/>
    </xf>
    <xf numFmtId="0" fontId="20" fillId="0" borderId="0" xfId="0" applyFont="1" applyAlignment="1">
      <alignment horizontal="center" vertical="center" wrapText="1"/>
    </xf>
    <xf numFmtId="167" fontId="5" fillId="0" borderId="0" xfId="0" applyNumberFormat="1" applyFont="1" applyAlignment="1">
      <alignment vertical="center"/>
    </xf>
    <xf numFmtId="0" fontId="6" fillId="5" borderId="0" xfId="0" applyFont="1" applyFill="1" applyAlignment="1">
      <alignment horizontal="center" vertical="center"/>
    </xf>
    <xf numFmtId="0" fontId="7" fillId="0" borderId="0" xfId="0" applyFont="1" applyAlignment="1">
      <alignment vertical="center"/>
    </xf>
    <xf numFmtId="0" fontId="22" fillId="0" borderId="0" xfId="0" applyFont="1" applyAlignment="1">
      <alignment vertical="center"/>
    </xf>
    <xf numFmtId="0" fontId="10" fillId="5" borderId="0" xfId="0" applyFont="1" applyFill="1" applyAlignment="1">
      <alignment vertical="center"/>
    </xf>
    <xf numFmtId="0" fontId="6" fillId="4" borderId="0" xfId="0" applyFont="1" applyFill="1" applyAlignment="1">
      <alignment horizontal="center" vertical="center" wrapText="1"/>
    </xf>
    <xf numFmtId="0" fontId="0" fillId="4" borderId="0" xfId="0" applyFill="1" applyAlignment="1">
      <alignment horizontal="center" vertical="center" wrapText="1"/>
    </xf>
    <xf numFmtId="0" fontId="6" fillId="4" borderId="4" xfId="0" applyFont="1" applyFill="1" applyBorder="1" applyAlignment="1">
      <alignment horizontal="center" vertical="center" wrapText="1"/>
    </xf>
    <xf numFmtId="0" fontId="0" fillId="4" borderId="6" xfId="0" applyFill="1" applyBorder="1" applyAlignment="1">
      <alignment horizontal="center" vertical="center" wrapText="1"/>
    </xf>
    <xf numFmtId="0" fontId="6" fillId="5" borderId="2" xfId="0" applyFont="1" applyFill="1" applyBorder="1" applyAlignment="1">
      <alignment horizontal="right" vertical="center"/>
    </xf>
    <xf numFmtId="0" fontId="5" fillId="5" borderId="3" xfId="0" applyFont="1" applyFill="1" applyBorder="1" applyAlignment="1">
      <alignment vertical="center"/>
    </xf>
    <xf numFmtId="0" fontId="5" fillId="5" borderId="3" xfId="0" applyFont="1" applyFill="1" applyBorder="1" applyAlignment="1">
      <alignment horizontal="right" vertical="center"/>
    </xf>
    <xf numFmtId="0" fontId="5" fillId="5" borderId="4" xfId="0" applyFont="1" applyFill="1" applyBorder="1" applyAlignment="1">
      <alignment vertical="center"/>
    </xf>
    <xf numFmtId="0" fontId="5" fillId="5" borderId="0" xfId="0" applyFont="1" applyFill="1" applyAlignment="1">
      <alignment horizontal="right" vertical="center"/>
    </xf>
    <xf numFmtId="0" fontId="6" fillId="5" borderId="5" xfId="0" applyFont="1" applyFill="1" applyBorder="1" applyAlignment="1">
      <alignment horizontal="right" vertical="center"/>
    </xf>
    <xf numFmtId="43" fontId="5" fillId="5" borderId="0" xfId="1" applyFont="1" applyFill="1" applyBorder="1" applyAlignment="1">
      <alignment horizontal="right" vertical="center"/>
    </xf>
    <xf numFmtId="164" fontId="5" fillId="5" borderId="0" xfId="1" applyNumberFormat="1" applyFont="1" applyFill="1" applyBorder="1" applyAlignment="1">
      <alignment horizontal="right" vertical="center"/>
    </xf>
    <xf numFmtId="43" fontId="6" fillId="5" borderId="2" xfId="1" applyFont="1" applyFill="1" applyBorder="1" applyAlignment="1">
      <alignment horizontal="left" vertical="center"/>
    </xf>
    <xf numFmtId="0" fontId="7" fillId="5" borderId="3" xfId="0" applyFont="1" applyFill="1" applyBorder="1" applyAlignment="1">
      <alignment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6" fillId="5" borderId="1" xfId="0" applyFont="1" applyFill="1" applyBorder="1" applyAlignment="1">
      <alignment horizontal="center" vertical="center"/>
    </xf>
    <xf numFmtId="164" fontId="5" fillId="5" borderId="0" xfId="0" applyNumberFormat="1" applyFont="1" applyFill="1" applyAlignment="1">
      <alignment vertical="center"/>
    </xf>
    <xf numFmtId="43" fontId="5" fillId="5" borderId="2" xfId="1" applyFont="1" applyFill="1" applyBorder="1" applyAlignment="1">
      <alignment horizontal="right" vertical="center"/>
    </xf>
    <xf numFmtId="164" fontId="5" fillId="5" borderId="3" xfId="1" applyNumberFormat="1" applyFont="1" applyFill="1" applyBorder="1" applyAlignment="1">
      <alignment horizontal="right" vertical="center"/>
    </xf>
    <xf numFmtId="0" fontId="7" fillId="5" borderId="4" xfId="0" applyFont="1" applyFill="1" applyBorder="1" applyAlignment="1">
      <alignment vertical="center"/>
    </xf>
    <xf numFmtId="43" fontId="5" fillId="5" borderId="5" xfId="1" applyFont="1" applyFill="1" applyBorder="1" applyAlignment="1">
      <alignment vertical="center"/>
    </xf>
    <xf numFmtId="43" fontId="10" fillId="5" borderId="6" xfId="1" applyFont="1" applyFill="1" applyBorder="1" applyAlignment="1">
      <alignment horizontal="right" vertical="center"/>
    </xf>
    <xf numFmtId="43" fontId="5" fillId="5" borderId="5" xfId="1" applyFont="1" applyFill="1" applyBorder="1" applyAlignment="1">
      <alignment horizontal="right" vertical="center"/>
    </xf>
    <xf numFmtId="10" fontId="5" fillId="5" borderId="0" xfId="3" applyNumberFormat="1" applyFont="1" applyFill="1" applyBorder="1" applyAlignment="1">
      <alignment horizontal="center" vertical="center"/>
    </xf>
    <xf numFmtId="10" fontId="5" fillId="5" borderId="6" xfId="0" applyNumberFormat="1" applyFont="1" applyFill="1" applyBorder="1" applyAlignment="1">
      <alignment horizontal="center" vertical="center"/>
    </xf>
    <xf numFmtId="165" fontId="5" fillId="5" borderId="1" xfId="0" applyNumberFormat="1" applyFont="1" applyFill="1" applyBorder="1" applyAlignment="1">
      <alignment vertical="center"/>
    </xf>
    <xf numFmtId="164" fontId="5" fillId="5" borderId="7" xfId="0" applyNumberFormat="1" applyFont="1" applyFill="1" applyBorder="1" applyAlignment="1">
      <alignment vertical="center"/>
    </xf>
    <xf numFmtId="43" fontId="5" fillId="5" borderId="8" xfId="1" applyFont="1" applyFill="1" applyBorder="1" applyAlignment="1">
      <alignment horizontal="right" vertical="center"/>
    </xf>
    <xf numFmtId="164" fontId="5" fillId="5" borderId="9" xfId="0" applyNumberFormat="1" applyFont="1" applyFill="1" applyBorder="1" applyAlignment="1">
      <alignment vertical="center"/>
    </xf>
    <xf numFmtId="10" fontId="5" fillId="5" borderId="9" xfId="3" applyNumberFormat="1" applyFont="1" applyFill="1" applyBorder="1" applyAlignment="1">
      <alignment horizontal="center" vertical="center"/>
    </xf>
    <xf numFmtId="10" fontId="5" fillId="5" borderId="10" xfId="0" applyNumberFormat="1" applyFont="1" applyFill="1" applyBorder="1" applyAlignment="1">
      <alignment horizontal="center" vertical="center"/>
    </xf>
    <xf numFmtId="43" fontId="6" fillId="5" borderId="6" xfId="1" applyFont="1" applyFill="1" applyBorder="1" applyAlignment="1">
      <alignment horizontal="right" vertical="center"/>
    </xf>
    <xf numFmtId="43" fontId="5" fillId="5" borderId="1" xfId="1" applyFont="1" applyFill="1" applyBorder="1" applyAlignment="1">
      <alignment vertical="center"/>
    </xf>
    <xf numFmtId="164" fontId="5" fillId="5" borderId="7" xfId="1" applyNumberFormat="1" applyFont="1" applyFill="1" applyBorder="1" applyAlignment="1">
      <alignment horizontal="right" vertical="center"/>
    </xf>
    <xf numFmtId="10" fontId="5" fillId="5" borderId="7" xfId="3" applyNumberFormat="1" applyFont="1" applyFill="1" applyBorder="1" applyAlignment="1">
      <alignment horizontal="center" vertical="center"/>
    </xf>
    <xf numFmtId="43" fontId="6" fillId="5" borderId="5" xfId="1" applyFont="1" applyFill="1" applyBorder="1" applyAlignment="1">
      <alignment horizontal="left" vertical="center"/>
    </xf>
    <xf numFmtId="0" fontId="11" fillId="5" borderId="0" xfId="5" applyFont="1" applyFill="1" applyBorder="1" applyAlignment="1">
      <alignment vertical="center"/>
    </xf>
    <xf numFmtId="43" fontId="5" fillId="5" borderId="6" xfId="1" applyFont="1" applyFill="1" applyBorder="1" applyAlignment="1">
      <alignment horizontal="right" vertical="center"/>
    </xf>
    <xf numFmtId="0" fontId="6" fillId="5" borderId="5" xfId="0" applyFont="1" applyFill="1" applyBorder="1" applyAlignment="1">
      <alignment horizontal="center" vertical="center"/>
    </xf>
    <xf numFmtId="0" fontId="5" fillId="5" borderId="1" xfId="0" applyFont="1" applyFill="1" applyBorder="1" applyAlignment="1">
      <alignment horizontal="right" vertical="center"/>
    </xf>
    <xf numFmtId="8" fontId="5" fillId="5" borderId="0" xfId="0" applyNumberFormat="1" applyFont="1" applyFill="1" applyAlignment="1">
      <alignment vertical="center"/>
    </xf>
    <xf numFmtId="9" fontId="5" fillId="5" borderId="0" xfId="0" applyNumberFormat="1" applyFont="1" applyFill="1" applyAlignment="1">
      <alignment vertical="center"/>
    </xf>
    <xf numFmtId="166" fontId="5" fillId="5" borderId="0" xfId="2" applyNumberFormat="1" applyFont="1" applyFill="1" applyBorder="1" applyAlignment="1">
      <alignment horizontal="right" vertical="center"/>
    </xf>
    <xf numFmtId="0" fontId="7" fillId="5" borderId="0" xfId="0" applyFont="1" applyFill="1" applyAlignment="1">
      <alignment vertical="center"/>
    </xf>
    <xf numFmtId="10" fontId="5" fillId="5" borderId="0" xfId="0" applyNumberFormat="1" applyFont="1" applyFill="1" applyAlignment="1">
      <alignment horizontal="center" vertical="center"/>
    </xf>
    <xf numFmtId="0" fontId="5" fillId="5" borderId="8" xfId="0" applyFont="1" applyFill="1" applyBorder="1" applyAlignment="1">
      <alignment vertical="center"/>
    </xf>
    <xf numFmtId="0" fontId="5" fillId="5" borderId="9" xfId="0" applyFont="1" applyFill="1" applyBorder="1" applyAlignment="1">
      <alignment vertical="center"/>
    </xf>
    <xf numFmtId="43" fontId="5" fillId="5" borderId="10" xfId="1" applyFont="1" applyFill="1" applyBorder="1" applyAlignment="1">
      <alignment horizontal="right" vertical="center"/>
    </xf>
    <xf numFmtId="0" fontId="5" fillId="5" borderId="11" xfId="0" applyFont="1" applyFill="1" applyBorder="1" applyAlignment="1">
      <alignment vertical="center"/>
    </xf>
    <xf numFmtId="43" fontId="5" fillId="5" borderId="7" xfId="1" applyFont="1" applyFill="1" applyBorder="1" applyAlignment="1">
      <alignment horizontal="right" vertical="center"/>
    </xf>
    <xf numFmtId="9" fontId="5" fillId="5" borderId="7" xfId="3" applyFont="1" applyFill="1" applyBorder="1" applyAlignment="1">
      <alignment horizontal="center" vertical="center"/>
    </xf>
    <xf numFmtId="0" fontId="5" fillId="5" borderId="7" xfId="0" applyFont="1" applyFill="1" applyBorder="1" applyAlignment="1">
      <alignment vertical="center"/>
    </xf>
    <xf numFmtId="0" fontId="5" fillId="5" borderId="12" xfId="0" applyFont="1" applyFill="1" applyBorder="1" applyAlignment="1">
      <alignment vertical="center"/>
    </xf>
    <xf numFmtId="6" fontId="5" fillId="5" borderId="0" xfId="0" applyNumberFormat="1" applyFont="1" applyFill="1" applyAlignment="1">
      <alignment vertical="center"/>
    </xf>
    <xf numFmtId="167" fontId="5" fillId="5" borderId="0" xfId="2" applyNumberFormat="1" applyFont="1" applyFill="1" applyBorder="1" applyAlignment="1">
      <alignment vertical="center"/>
    </xf>
    <xf numFmtId="43" fontId="6" fillId="5" borderId="0" xfId="1" applyFont="1" applyFill="1" applyBorder="1" applyAlignment="1">
      <alignment horizontal="right" vertical="center"/>
    </xf>
    <xf numFmtId="10" fontId="6" fillId="5" borderId="1" xfId="3" applyNumberFormat="1" applyFont="1" applyFill="1" applyBorder="1" applyAlignment="1">
      <alignment horizontal="center" vertical="center"/>
    </xf>
    <xf numFmtId="6" fontId="5" fillId="5" borderId="7" xfId="0" applyNumberFormat="1" applyFont="1" applyFill="1" applyBorder="1" applyAlignment="1">
      <alignment vertical="center"/>
    </xf>
    <xf numFmtId="43" fontId="10" fillId="5" borderId="0" xfId="1" applyFont="1" applyFill="1" applyBorder="1" applyAlignment="1">
      <alignment horizontal="right" vertical="center"/>
    </xf>
    <xf numFmtId="167" fontId="10" fillId="5" borderId="7" xfId="2" applyNumberFormat="1" applyFont="1" applyFill="1" applyBorder="1" applyAlignment="1">
      <alignment vertical="center"/>
    </xf>
    <xf numFmtId="167" fontId="5" fillId="5" borderId="0" xfId="0" applyNumberFormat="1" applyFont="1" applyFill="1" applyAlignment="1">
      <alignment vertical="center"/>
    </xf>
    <xf numFmtId="167" fontId="5" fillId="5" borderId="7" xfId="2" applyNumberFormat="1" applyFont="1" applyFill="1" applyBorder="1" applyAlignment="1">
      <alignment vertical="center"/>
    </xf>
    <xf numFmtId="167" fontId="5" fillId="5" borderId="0" xfId="5" applyNumberFormat="1" applyFont="1" applyFill="1" applyBorder="1" applyAlignment="1">
      <alignment vertical="center"/>
    </xf>
    <xf numFmtId="9" fontId="5" fillId="5" borderId="0" xfId="0" applyNumberFormat="1" applyFont="1" applyFill="1" applyAlignment="1">
      <alignment horizontal="center" vertical="center"/>
    </xf>
    <xf numFmtId="169" fontId="10" fillId="5" borderId="0" xfId="6" applyNumberFormat="1" applyFont="1" applyFill="1" applyAlignment="1">
      <alignment vertical="center"/>
    </xf>
    <xf numFmtId="43" fontId="10" fillId="5" borderId="9" xfId="1" applyFont="1" applyFill="1" applyBorder="1" applyAlignment="1">
      <alignment horizontal="right" vertical="center"/>
    </xf>
    <xf numFmtId="167" fontId="5" fillId="5" borderId="9" xfId="2" applyNumberFormat="1" applyFont="1" applyFill="1" applyBorder="1" applyAlignment="1">
      <alignment vertical="center"/>
    </xf>
    <xf numFmtId="0" fontId="10" fillId="5" borderId="9" xfId="6" applyFont="1" applyFill="1" applyBorder="1" applyAlignment="1">
      <alignment horizontal="center" vertical="center"/>
    </xf>
    <xf numFmtId="0" fontId="5" fillId="5" borderId="10" xfId="0" applyFont="1" applyFill="1" applyBorder="1" applyAlignment="1">
      <alignment vertical="center"/>
    </xf>
    <xf numFmtId="0" fontId="6" fillId="5" borderId="2" xfId="0" applyFont="1" applyFill="1" applyBorder="1" applyAlignment="1">
      <alignment horizontal="left" vertical="center"/>
    </xf>
    <xf numFmtId="0" fontId="6" fillId="5" borderId="3" xfId="0" applyFont="1" applyFill="1" applyBorder="1" applyAlignment="1">
      <alignment horizontal="right" vertical="center"/>
    </xf>
    <xf numFmtId="170" fontId="5" fillId="5" borderId="0" xfId="3" applyNumberFormat="1" applyFont="1" applyFill="1" applyBorder="1" applyAlignment="1">
      <alignment horizontal="center" vertical="center"/>
    </xf>
    <xf numFmtId="170" fontId="6" fillId="5" borderId="0" xfId="3" applyNumberFormat="1" applyFont="1" applyFill="1" applyBorder="1" applyAlignment="1">
      <alignment horizontal="center" vertical="center"/>
    </xf>
    <xf numFmtId="43" fontId="6" fillId="5" borderId="5" xfId="1" applyFont="1" applyFill="1" applyBorder="1" applyAlignment="1">
      <alignment vertical="center"/>
    </xf>
    <xf numFmtId="43" fontId="5" fillId="5" borderId="0" xfId="1" applyFont="1" applyFill="1" applyBorder="1" applyAlignment="1">
      <alignment vertical="center"/>
    </xf>
    <xf numFmtId="43" fontId="9" fillId="5" borderId="5" xfId="1" applyFont="1" applyFill="1" applyBorder="1" applyAlignment="1">
      <alignment vertical="center"/>
    </xf>
    <xf numFmtId="43" fontId="5" fillId="5" borderId="8" xfId="1" applyFont="1" applyFill="1" applyBorder="1" applyAlignment="1">
      <alignment vertical="center"/>
    </xf>
    <xf numFmtId="43" fontId="6" fillId="5" borderId="9" xfId="1" applyFont="1" applyFill="1" applyBorder="1" applyAlignment="1">
      <alignment horizontal="right" vertical="center"/>
    </xf>
    <xf numFmtId="170" fontId="6" fillId="5" borderId="9" xfId="3" applyNumberFormat="1" applyFont="1" applyFill="1" applyBorder="1" applyAlignment="1">
      <alignment horizontal="center" vertical="center"/>
    </xf>
    <xf numFmtId="43" fontId="5" fillId="5" borderId="9" xfId="1" applyFont="1" applyFill="1" applyBorder="1" applyAlignment="1">
      <alignment vertical="center"/>
    </xf>
    <xf numFmtId="0" fontId="5" fillId="5" borderId="2" xfId="0" applyFont="1" applyFill="1" applyBorder="1" applyAlignment="1">
      <alignment vertical="center"/>
    </xf>
    <xf numFmtId="43" fontId="5" fillId="5" borderId="24" xfId="1" applyFont="1" applyFill="1" applyBorder="1" applyAlignment="1">
      <alignment horizontal="right" vertical="center"/>
    </xf>
    <xf numFmtId="167" fontId="5" fillId="5" borderId="3" xfId="5" applyNumberFormat="1" applyFont="1" applyFill="1" applyBorder="1" applyAlignment="1">
      <alignment vertical="center"/>
    </xf>
    <xf numFmtId="167" fontId="5" fillId="5" borderId="3" xfId="0" applyNumberFormat="1" applyFont="1" applyFill="1" applyBorder="1" applyAlignment="1">
      <alignment vertical="center"/>
    </xf>
    <xf numFmtId="43" fontId="5" fillId="5" borderId="1" xfId="1" applyFont="1" applyFill="1" applyBorder="1" applyAlignment="1">
      <alignment horizontal="right" vertical="center"/>
    </xf>
    <xf numFmtId="167" fontId="11" fillId="5" borderId="0" xfId="5" applyNumberFormat="1" applyFont="1" applyFill="1" applyBorder="1" applyAlignment="1">
      <alignment vertical="center"/>
    </xf>
    <xf numFmtId="0" fontId="11" fillId="5" borderId="5" xfId="5" applyFont="1" applyFill="1" applyBorder="1" applyAlignment="1">
      <alignment vertical="center"/>
    </xf>
    <xf numFmtId="0" fontId="11" fillId="5" borderId="0" xfId="5" applyFont="1" applyFill="1" applyBorder="1" applyAlignment="1">
      <alignment horizontal="right" vertical="center"/>
    </xf>
    <xf numFmtId="43" fontId="11" fillId="5" borderId="0" xfId="1" applyFont="1" applyFill="1" applyBorder="1" applyAlignment="1">
      <alignment vertical="center"/>
    </xf>
    <xf numFmtId="43" fontId="5" fillId="5" borderId="13" xfId="1" applyFont="1" applyFill="1" applyBorder="1" applyAlignment="1">
      <alignment horizontal="right" vertical="center"/>
    </xf>
    <xf numFmtId="43" fontId="5" fillId="5" borderId="3" xfId="1" applyFont="1" applyFill="1" applyBorder="1" applyAlignment="1">
      <alignment vertical="center"/>
    </xf>
    <xf numFmtId="43" fontId="5" fillId="5" borderId="6" xfId="1" applyFont="1" applyFill="1" applyBorder="1" applyAlignment="1">
      <alignment vertical="center"/>
    </xf>
    <xf numFmtId="0" fontId="5" fillId="5" borderId="0" xfId="5" applyFont="1" applyFill="1" applyBorder="1" applyAlignment="1">
      <alignment vertical="center"/>
    </xf>
    <xf numFmtId="44" fontId="5" fillId="5" borderId="9" xfId="2" applyFont="1" applyFill="1" applyBorder="1" applyAlignment="1">
      <alignment vertical="center"/>
    </xf>
    <xf numFmtId="0" fontId="11" fillId="5" borderId="0" xfId="5" applyFont="1" applyFill="1" applyAlignment="1">
      <alignment vertical="center"/>
    </xf>
    <xf numFmtId="43" fontId="5" fillId="5" borderId="25" xfId="1" applyFont="1" applyFill="1" applyBorder="1" applyAlignment="1">
      <alignment horizontal="right" vertical="center"/>
    </xf>
    <xf numFmtId="0" fontId="11" fillId="5" borderId="3" xfId="5" applyFont="1" applyFill="1" applyBorder="1" applyAlignment="1">
      <alignment vertical="center"/>
    </xf>
    <xf numFmtId="43" fontId="5" fillId="5" borderId="26" xfId="1" applyFont="1" applyFill="1" applyBorder="1" applyAlignment="1">
      <alignment horizontal="right" vertical="center"/>
    </xf>
    <xf numFmtId="0" fontId="11" fillId="5" borderId="9" xfId="5" applyFont="1" applyFill="1" applyBorder="1" applyAlignment="1">
      <alignment vertical="center"/>
    </xf>
    <xf numFmtId="0" fontId="6" fillId="5" borderId="0" xfId="0" applyFont="1" applyFill="1" applyAlignment="1">
      <alignment vertical="center"/>
    </xf>
    <xf numFmtId="164" fontId="5" fillId="5" borderId="0" xfId="1" applyNumberFormat="1" applyFont="1" applyFill="1" applyBorder="1" applyAlignment="1">
      <alignment vertical="center"/>
    </xf>
    <xf numFmtId="0" fontId="9" fillId="5" borderId="0" xfId="0" applyFont="1" applyFill="1" applyAlignment="1">
      <alignment vertical="center"/>
    </xf>
    <xf numFmtId="0" fontId="6" fillId="5" borderId="7" xfId="0" applyFont="1" applyFill="1" applyBorder="1" applyAlignment="1">
      <alignment vertical="center"/>
    </xf>
    <xf numFmtId="0" fontId="6" fillId="5" borderId="7" xfId="0" applyFont="1" applyFill="1" applyBorder="1" applyAlignment="1">
      <alignment horizontal="center" vertical="center"/>
    </xf>
    <xf numFmtId="0" fontId="6" fillId="5" borderId="15" xfId="0" applyFont="1" applyFill="1" applyBorder="1" applyAlignment="1">
      <alignment horizontal="center" vertical="center"/>
    </xf>
    <xf numFmtId="167" fontId="6" fillId="5" borderId="7" xfId="0" applyNumberFormat="1" applyFont="1" applyFill="1" applyBorder="1" applyAlignment="1">
      <alignment vertical="center"/>
    </xf>
    <xf numFmtId="164" fontId="5" fillId="5" borderId="0" xfId="5" applyNumberFormat="1" applyFont="1" applyFill="1" applyAlignment="1">
      <alignment vertical="center"/>
    </xf>
    <xf numFmtId="0" fontId="6" fillId="5" borderId="21" xfId="0" applyFont="1" applyFill="1" applyBorder="1" applyAlignment="1">
      <alignment horizontal="center" vertical="center"/>
    </xf>
    <xf numFmtId="0" fontId="6" fillId="5" borderId="22" xfId="0" applyFont="1" applyFill="1" applyBorder="1" applyAlignment="1">
      <alignment horizontal="center" vertical="center"/>
    </xf>
    <xf numFmtId="0" fontId="8" fillId="5" borderId="21" xfId="0" applyFont="1" applyFill="1" applyBorder="1" applyAlignment="1">
      <alignment horizontal="center" vertical="center"/>
    </xf>
    <xf numFmtId="0" fontId="6" fillId="5" borderId="7" xfId="0" applyFont="1" applyFill="1" applyBorder="1" applyAlignment="1">
      <alignment horizontal="center" vertical="center"/>
    </xf>
    <xf numFmtId="167" fontId="5" fillId="5" borderId="0" xfId="2" applyNumberFormat="1" applyFont="1" applyFill="1" applyAlignment="1">
      <alignment vertical="center"/>
    </xf>
    <xf numFmtId="9" fontId="5" fillId="5" borderId="1" xfId="3" applyFont="1" applyFill="1" applyBorder="1" applyAlignment="1">
      <alignment horizontal="center" vertical="center"/>
    </xf>
    <xf numFmtId="10" fontId="9" fillId="5" borderId="0" xfId="3" applyNumberFormat="1" applyFont="1" applyFill="1" applyBorder="1" applyAlignment="1">
      <alignment horizontal="center" vertical="center"/>
    </xf>
    <xf numFmtId="167" fontId="9" fillId="5" borderId="0" xfId="0" applyNumberFormat="1" applyFont="1" applyFill="1" applyAlignment="1">
      <alignment vertical="center"/>
    </xf>
    <xf numFmtId="44" fontId="5" fillId="5" borderId="0" xfId="0" applyNumberFormat="1" applyFont="1" applyFill="1" applyAlignment="1">
      <alignment horizontal="center" vertical="center"/>
    </xf>
    <xf numFmtId="2" fontId="5" fillId="5" borderId="27" xfId="0" applyNumberFormat="1" applyFont="1" applyFill="1" applyBorder="1" applyAlignment="1">
      <alignment vertical="center"/>
    </xf>
    <xf numFmtId="0" fontId="5" fillId="5" borderId="28" xfId="0" applyFont="1" applyFill="1" applyBorder="1" applyAlignment="1">
      <alignment vertical="center"/>
    </xf>
    <xf numFmtId="9" fontId="5" fillId="5" borderId="15" xfId="3" applyFont="1" applyFill="1" applyBorder="1" applyAlignment="1">
      <alignment horizontal="center" vertical="center"/>
    </xf>
    <xf numFmtId="164" fontId="5" fillId="5" borderId="7" xfId="1" applyNumberFormat="1" applyFont="1" applyFill="1" applyBorder="1" applyAlignment="1">
      <alignment vertical="center"/>
    </xf>
    <xf numFmtId="10" fontId="9" fillId="5" borderId="7" xfId="3" applyNumberFormat="1" applyFont="1" applyFill="1" applyBorder="1" applyAlignment="1">
      <alignment horizontal="center" vertical="center"/>
    </xf>
    <xf numFmtId="44" fontId="9" fillId="5" borderId="0" xfId="2" applyFont="1" applyFill="1" applyBorder="1" applyAlignment="1">
      <alignment vertical="center"/>
    </xf>
    <xf numFmtId="0" fontId="6" fillId="5" borderId="0" xfId="0" applyFont="1" applyFill="1" applyAlignment="1">
      <alignment horizontal="right" vertical="center"/>
    </xf>
    <xf numFmtId="164" fontId="6" fillId="5" borderId="0" xfId="0" applyNumberFormat="1" applyFont="1" applyFill="1" applyAlignment="1">
      <alignment vertical="center"/>
    </xf>
    <xf numFmtId="9" fontId="6" fillId="5" borderId="1" xfId="3" applyFont="1" applyFill="1" applyBorder="1" applyAlignment="1">
      <alignment horizontal="center" vertical="center"/>
    </xf>
    <xf numFmtId="9" fontId="6" fillId="5" borderId="0" xfId="3" applyFont="1" applyFill="1" applyAlignment="1">
      <alignment horizontal="center" vertical="center"/>
    </xf>
    <xf numFmtId="167" fontId="6" fillId="5" borderId="0" xfId="0" applyNumberFormat="1" applyFont="1" applyFill="1" applyAlignment="1">
      <alignment vertical="center"/>
    </xf>
    <xf numFmtId="49" fontId="5" fillId="5" borderId="0" xfId="0" applyNumberFormat="1" applyFont="1" applyFill="1" applyAlignment="1">
      <alignment vertical="center"/>
    </xf>
    <xf numFmtId="49" fontId="5" fillId="5" borderId="0" xfId="2" applyNumberFormat="1" applyFont="1" applyFill="1" applyBorder="1" applyAlignment="1">
      <alignment vertical="center"/>
    </xf>
    <xf numFmtId="0" fontId="8" fillId="5" borderId="22" xfId="0" applyFont="1" applyFill="1" applyBorder="1" applyAlignment="1">
      <alignment horizontal="center" vertical="center"/>
    </xf>
    <xf numFmtId="168" fontId="5" fillId="5" borderId="1" xfId="3" applyNumberFormat="1" applyFont="1" applyFill="1" applyBorder="1" applyAlignment="1">
      <alignment horizontal="center" vertical="center"/>
    </xf>
    <xf numFmtId="10" fontId="9" fillId="5" borderId="1" xfId="3" applyNumberFormat="1" applyFont="1" applyFill="1" applyBorder="1" applyAlignment="1">
      <alignment horizontal="center" vertical="center"/>
    </xf>
    <xf numFmtId="168" fontId="5" fillId="5" borderId="0" xfId="3" applyNumberFormat="1" applyFont="1" applyFill="1" applyAlignment="1">
      <alignment horizontal="center" vertical="center"/>
    </xf>
    <xf numFmtId="10" fontId="5" fillId="5" borderId="1" xfId="0" applyNumberFormat="1" applyFont="1" applyFill="1" applyBorder="1" applyAlignment="1">
      <alignment horizontal="center" vertical="center"/>
    </xf>
    <xf numFmtId="44" fontId="5" fillId="5" borderId="0" xfId="0" applyNumberFormat="1" applyFont="1" applyFill="1" applyAlignment="1">
      <alignment vertical="center"/>
    </xf>
    <xf numFmtId="10" fontId="5" fillId="5" borderId="1" xfId="3" applyNumberFormat="1" applyFont="1" applyFill="1" applyBorder="1" applyAlignment="1">
      <alignment horizontal="center" vertical="center"/>
    </xf>
    <xf numFmtId="44" fontId="5" fillId="5" borderId="0" xfId="2" applyFont="1" applyFill="1" applyAlignment="1">
      <alignment horizontal="center" vertical="center"/>
    </xf>
    <xf numFmtId="10" fontId="9" fillId="5" borderId="15" xfId="3" applyNumberFormat="1" applyFont="1" applyFill="1" applyBorder="1" applyAlignment="1">
      <alignment horizontal="center" vertical="center"/>
    </xf>
    <xf numFmtId="164" fontId="6" fillId="5" borderId="0" xfId="0" applyNumberFormat="1" applyFont="1" applyFill="1" applyAlignment="1">
      <alignment horizontal="right" vertical="center"/>
    </xf>
    <xf numFmtId="168" fontId="6" fillId="5" borderId="1" xfId="0" applyNumberFormat="1" applyFont="1" applyFill="1" applyBorder="1" applyAlignment="1">
      <alignment horizontal="center" vertical="center"/>
    </xf>
    <xf numFmtId="167" fontId="6" fillId="5" borderId="29" xfId="0" applyNumberFormat="1" applyFont="1" applyFill="1" applyBorder="1" applyAlignment="1">
      <alignment vertical="center"/>
    </xf>
    <xf numFmtId="9" fontId="6" fillId="5" borderId="0" xfId="3" applyFont="1" applyFill="1" applyBorder="1" applyAlignment="1">
      <alignment horizontal="center" vertical="center"/>
    </xf>
    <xf numFmtId="10" fontId="6" fillId="5" borderId="0" xfId="3" applyNumberFormat="1" applyFont="1" applyFill="1" applyBorder="1" applyAlignment="1">
      <alignment horizontal="center" vertical="center"/>
    </xf>
    <xf numFmtId="0" fontId="21" fillId="5" borderId="0" xfId="0" applyFont="1" applyFill="1" applyAlignment="1">
      <alignment vertical="center"/>
    </xf>
    <xf numFmtId="164" fontId="5" fillId="5" borderId="0" xfId="1" applyNumberFormat="1" applyFont="1" applyFill="1" applyAlignment="1">
      <alignment vertical="center"/>
    </xf>
    <xf numFmtId="9" fontId="11" fillId="5" borderId="1" xfId="5" applyNumberFormat="1" applyFont="1" applyFill="1" applyBorder="1" applyAlignment="1">
      <alignment horizontal="center" vertical="center"/>
    </xf>
    <xf numFmtId="0" fontId="6" fillId="5" borderId="2" xfId="0" applyFont="1" applyFill="1" applyBorder="1" applyAlignment="1">
      <alignment vertical="center"/>
    </xf>
    <xf numFmtId="0" fontId="5" fillId="5" borderId="24" xfId="0" applyFont="1" applyFill="1" applyBorder="1" applyAlignment="1">
      <alignment vertical="center"/>
    </xf>
    <xf numFmtId="6" fontId="5" fillId="5" borderId="4" xfId="0" applyNumberFormat="1" applyFont="1" applyFill="1" applyBorder="1" applyAlignment="1">
      <alignment vertical="center"/>
    </xf>
    <xf numFmtId="0" fontId="5" fillId="5" borderId="5" xfId="0" applyFont="1" applyFill="1" applyBorder="1" applyAlignment="1">
      <alignment horizontal="right" vertical="center"/>
    </xf>
    <xf numFmtId="6" fontId="5" fillId="5" borderId="6" xfId="0" applyNumberFormat="1" applyFont="1" applyFill="1" applyBorder="1" applyAlignment="1">
      <alignment vertical="center"/>
    </xf>
    <xf numFmtId="0" fontId="6" fillId="5" borderId="3"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4" xfId="0" applyFont="1" applyFill="1" applyBorder="1" applyAlignment="1">
      <alignment horizontal="center" vertical="center"/>
    </xf>
    <xf numFmtId="9" fontId="5" fillId="5" borderId="6" xfId="3" applyFont="1" applyFill="1" applyBorder="1" applyAlignment="1">
      <alignment horizontal="center" vertical="center"/>
    </xf>
    <xf numFmtId="0" fontId="6" fillId="5" borderId="11" xfId="0" applyFont="1" applyFill="1" applyBorder="1" applyAlignment="1">
      <alignment vertical="center"/>
    </xf>
    <xf numFmtId="0" fontId="6" fillId="5" borderId="15" xfId="0" applyFont="1" applyFill="1" applyBorder="1" applyAlignment="1">
      <alignment horizontal="center" vertical="center"/>
    </xf>
    <xf numFmtId="0" fontId="6" fillId="5" borderId="12" xfId="0" applyFont="1" applyFill="1" applyBorder="1" applyAlignment="1">
      <alignment horizontal="center" vertical="center"/>
    </xf>
    <xf numFmtId="0" fontId="5" fillId="5" borderId="11" xfId="0" applyFont="1" applyFill="1" applyBorder="1" applyAlignment="1">
      <alignment horizontal="right" vertical="center"/>
    </xf>
    <xf numFmtId="9" fontId="5" fillId="5" borderId="12" xfId="3" applyFont="1" applyFill="1" applyBorder="1" applyAlignment="1">
      <alignment horizontal="center" vertical="center"/>
    </xf>
    <xf numFmtId="0" fontId="6" fillId="5" borderId="8" xfId="0" applyFont="1" applyFill="1" applyBorder="1" applyAlignment="1">
      <alignment vertical="center"/>
    </xf>
    <xf numFmtId="167" fontId="6" fillId="5" borderId="9" xfId="2" applyNumberFormat="1" applyFont="1" applyFill="1" applyBorder="1" applyAlignment="1">
      <alignment vertical="center"/>
    </xf>
    <xf numFmtId="9" fontId="6" fillId="5" borderId="13" xfId="3" applyFont="1" applyFill="1" applyBorder="1" applyAlignment="1">
      <alignment horizontal="center" vertical="center"/>
    </xf>
    <xf numFmtId="9" fontId="6" fillId="5" borderId="10" xfId="3" applyFont="1" applyFill="1" applyBorder="1" applyAlignment="1">
      <alignment horizontal="center" vertical="center"/>
    </xf>
    <xf numFmtId="0" fontId="5" fillId="5" borderId="13" xfId="0" applyFont="1" applyFill="1" applyBorder="1" applyAlignment="1">
      <alignment vertical="center"/>
    </xf>
    <xf numFmtId="0" fontId="5" fillId="5" borderId="8" xfId="0" applyFont="1" applyFill="1" applyBorder="1" applyAlignment="1">
      <alignment horizontal="right" vertical="center"/>
    </xf>
    <xf numFmtId="9" fontId="5" fillId="5" borderId="9" xfId="0" applyNumberFormat="1" applyFont="1" applyFill="1" applyBorder="1" applyAlignment="1">
      <alignment horizontal="center" vertical="center"/>
    </xf>
    <xf numFmtId="0" fontId="5" fillId="5" borderId="9" xfId="0" applyFont="1" applyFill="1" applyBorder="1" applyAlignment="1">
      <alignment horizontal="center" vertical="center"/>
    </xf>
    <xf numFmtId="0" fontId="6" fillId="5" borderId="5" xfId="0" applyFont="1" applyFill="1" applyBorder="1" applyAlignment="1">
      <alignment vertical="center"/>
    </xf>
    <xf numFmtId="0" fontId="23" fillId="5" borderId="0" xfId="4" applyFont="1" applyFill="1" applyBorder="1" applyAlignment="1">
      <alignment vertical="center"/>
    </xf>
    <xf numFmtId="0" fontId="5" fillId="5" borderId="7" xfId="0" applyFont="1" applyFill="1" applyBorder="1" applyAlignment="1">
      <alignment horizontal="center" vertical="center"/>
    </xf>
    <xf numFmtId="44" fontId="5" fillId="5" borderId="0" xfId="2" applyFont="1" applyFill="1" applyBorder="1" applyAlignment="1">
      <alignment vertical="center"/>
    </xf>
    <xf numFmtId="9" fontId="5" fillId="5" borderId="0" xfId="3" applyFont="1" applyFill="1" applyBorder="1" applyAlignment="1">
      <alignment horizontal="center" vertical="center"/>
    </xf>
    <xf numFmtId="172" fontId="5" fillId="5" borderId="0" xfId="3" applyNumberFormat="1" applyFont="1" applyFill="1" applyBorder="1" applyAlignment="1">
      <alignment horizontal="center" vertical="center"/>
    </xf>
    <xf numFmtId="172" fontId="5" fillId="5" borderId="0" xfId="0" applyNumberFormat="1" applyFont="1" applyFill="1" applyAlignment="1">
      <alignment horizontal="center" vertical="center"/>
    </xf>
    <xf numFmtId="172" fontId="23" fillId="5" borderId="0" xfId="4" applyNumberFormat="1" applyFont="1" applyFill="1" applyBorder="1" applyAlignment="1">
      <alignment horizontal="center" vertical="center"/>
    </xf>
    <xf numFmtId="0" fontId="5" fillId="5" borderId="0" xfId="0" applyFont="1" applyFill="1" applyAlignment="1">
      <alignment horizontal="center" vertical="center" wrapText="1"/>
    </xf>
    <xf numFmtId="0" fontId="5" fillId="5" borderId="7" xfId="0" applyFont="1" applyFill="1" applyBorder="1" applyAlignment="1">
      <alignment horizontal="center" vertical="center" wrapText="1"/>
    </xf>
    <xf numFmtId="0" fontId="5" fillId="5" borderId="25" xfId="0" applyFont="1" applyFill="1" applyBorder="1" applyAlignment="1">
      <alignment vertical="center"/>
    </xf>
    <xf numFmtId="0" fontId="5" fillId="5" borderId="30" xfId="0" applyFont="1" applyFill="1" applyBorder="1" applyAlignment="1">
      <alignment horizontal="left" vertical="center"/>
    </xf>
    <xf numFmtId="0" fontId="5" fillId="5" borderId="30" xfId="0" applyFont="1" applyFill="1" applyBorder="1" applyAlignment="1">
      <alignment vertical="center"/>
    </xf>
    <xf numFmtId="0" fontId="5" fillId="5" borderId="7" xfId="0" applyFont="1" applyFill="1" applyBorder="1" applyAlignment="1">
      <alignment horizontal="left" vertical="center" wrapText="1"/>
    </xf>
    <xf numFmtId="0" fontId="5" fillId="5" borderId="26" xfId="0" applyFont="1" applyFill="1" applyBorder="1" applyAlignment="1">
      <alignment vertical="center"/>
    </xf>
    <xf numFmtId="172" fontId="5" fillId="5" borderId="7" xfId="0" applyNumberFormat="1" applyFont="1" applyFill="1" applyBorder="1" applyAlignment="1">
      <alignment horizontal="center" vertical="center"/>
    </xf>
    <xf numFmtId="0" fontId="5" fillId="5" borderId="7" xfId="0" applyFont="1" applyFill="1" applyBorder="1" applyAlignment="1">
      <alignment vertical="center" wrapText="1"/>
    </xf>
    <xf numFmtId="0" fontId="5" fillId="5" borderId="24" xfId="0" applyFont="1" applyFill="1" applyBorder="1" applyAlignment="1">
      <alignment horizontal="right" vertical="center"/>
    </xf>
    <xf numFmtId="0" fontId="5" fillId="5" borderId="3" xfId="0" applyFont="1" applyFill="1" applyBorder="1" applyAlignment="1">
      <alignment vertical="center" wrapText="1"/>
    </xf>
    <xf numFmtId="0" fontId="5" fillId="5" borderId="4" xfId="0" applyFont="1" applyFill="1" applyBorder="1" applyAlignment="1">
      <alignment vertical="center" wrapText="1"/>
    </xf>
    <xf numFmtId="9" fontId="5" fillId="5" borderId="9" xfId="3" applyFont="1" applyFill="1" applyBorder="1" applyAlignment="1">
      <alignment horizontal="center" vertical="center"/>
    </xf>
    <xf numFmtId="167" fontId="5" fillId="5" borderId="9" xfId="2" applyNumberFormat="1" applyFont="1" applyFill="1" applyBorder="1" applyAlignment="1">
      <alignment horizontal="center" vertical="center"/>
    </xf>
    <xf numFmtId="167" fontId="5" fillId="5" borderId="9" xfId="0" applyNumberFormat="1" applyFont="1" applyFill="1" applyBorder="1" applyAlignment="1">
      <alignment vertical="center"/>
    </xf>
    <xf numFmtId="173" fontId="5" fillId="5" borderId="9" xfId="0" applyNumberFormat="1" applyFont="1" applyFill="1" applyBorder="1" applyAlignment="1">
      <alignment vertical="center"/>
    </xf>
    <xf numFmtId="0" fontId="5" fillId="5" borderId="6" xfId="0" applyFont="1" applyFill="1" applyBorder="1" applyAlignment="1">
      <alignment vertical="center" wrapText="1"/>
    </xf>
    <xf numFmtId="0" fontId="5" fillId="5" borderId="13" xfId="0" applyFont="1" applyFill="1" applyBorder="1" applyAlignment="1">
      <alignment horizontal="right" vertical="center"/>
    </xf>
    <xf numFmtId="0" fontId="5" fillId="5" borderId="9" xfId="0" applyFont="1" applyFill="1" applyBorder="1" applyAlignment="1">
      <alignment vertical="center" wrapText="1"/>
    </xf>
    <xf numFmtId="0" fontId="5" fillId="5" borderId="10" xfId="0" applyFont="1" applyFill="1" applyBorder="1" applyAlignment="1">
      <alignment vertical="center" wrapText="1"/>
    </xf>
    <xf numFmtId="0" fontId="24" fillId="5" borderId="2" xfId="0" applyFont="1" applyFill="1" applyBorder="1" applyAlignment="1">
      <alignment vertical="center"/>
    </xf>
    <xf numFmtId="168" fontId="10" fillId="5" borderId="3" xfId="3" applyNumberFormat="1" applyFont="1" applyFill="1" applyBorder="1" applyAlignment="1">
      <alignment vertical="center"/>
    </xf>
    <xf numFmtId="167" fontId="5" fillId="5" borderId="4" xfId="0" applyNumberFormat="1" applyFont="1" applyFill="1" applyBorder="1" applyAlignment="1">
      <alignment vertical="center"/>
    </xf>
    <xf numFmtId="44" fontId="5" fillId="5" borderId="2" xfId="2" applyFont="1" applyFill="1" applyBorder="1" applyAlignment="1">
      <alignment vertical="center"/>
    </xf>
    <xf numFmtId="0" fontId="19" fillId="5" borderId="5" xfId="0" applyFont="1" applyFill="1" applyBorder="1" applyAlignment="1">
      <alignment horizontal="center" vertical="center"/>
    </xf>
    <xf numFmtId="0" fontId="19" fillId="5" borderId="0" xfId="0" applyFont="1" applyFill="1" applyAlignment="1">
      <alignment horizontal="center" vertical="center"/>
    </xf>
    <xf numFmtId="0" fontId="6" fillId="5" borderId="6" xfId="0" applyFont="1" applyFill="1" applyBorder="1" applyAlignment="1">
      <alignment horizontal="center" vertical="center"/>
    </xf>
    <xf numFmtId="167" fontId="5" fillId="5" borderId="5" xfId="2" applyNumberFormat="1" applyFont="1" applyFill="1" applyBorder="1" applyAlignment="1">
      <alignment vertical="center"/>
    </xf>
    <xf numFmtId="168" fontId="10" fillId="5" borderId="5" xfId="3" applyNumberFormat="1" applyFont="1" applyFill="1" applyBorder="1" applyAlignment="1">
      <alignment vertical="center"/>
    </xf>
    <xf numFmtId="168" fontId="10" fillId="5" borderId="0" xfId="3" applyNumberFormat="1" applyFont="1" applyFill="1" applyBorder="1" applyAlignment="1">
      <alignment vertical="center"/>
    </xf>
    <xf numFmtId="0" fontId="10" fillId="5" borderId="11"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7" xfId="0" applyFont="1" applyFill="1" applyBorder="1" applyAlignment="1">
      <alignment vertical="center"/>
    </xf>
    <xf numFmtId="0" fontId="5" fillId="5" borderId="15" xfId="0" applyFont="1" applyFill="1" applyBorder="1" applyAlignment="1">
      <alignment vertical="center"/>
    </xf>
    <xf numFmtId="167" fontId="5" fillId="5" borderId="7" xfId="0" applyNumberFormat="1" applyFont="1" applyFill="1" applyBorder="1" applyAlignment="1">
      <alignment vertical="center"/>
    </xf>
    <xf numFmtId="6" fontId="10" fillId="5" borderId="5" xfId="0" applyNumberFormat="1" applyFont="1" applyFill="1" applyBorder="1" applyAlignment="1">
      <alignment vertical="center"/>
    </xf>
    <xf numFmtId="167" fontId="10" fillId="5" borderId="0" xfId="2" applyNumberFormat="1" applyFont="1" applyFill="1" applyBorder="1" applyAlignment="1">
      <alignment vertical="center"/>
    </xf>
    <xf numFmtId="9" fontId="10" fillId="5" borderId="0" xfId="3" applyFont="1" applyFill="1" applyBorder="1" applyAlignment="1">
      <alignment horizontal="center" vertical="center"/>
    </xf>
    <xf numFmtId="164" fontId="5" fillId="5" borderId="5" xfId="1" applyNumberFormat="1" applyFont="1" applyFill="1" applyBorder="1" applyAlignment="1">
      <alignment vertical="center"/>
    </xf>
    <xf numFmtId="44" fontId="10" fillId="5" borderId="0" xfId="2" applyFont="1" applyFill="1" applyBorder="1" applyAlignment="1">
      <alignment vertical="center"/>
    </xf>
    <xf numFmtId="167" fontId="5" fillId="5" borderId="5" xfId="0" applyNumberFormat="1" applyFont="1" applyFill="1" applyBorder="1" applyAlignment="1">
      <alignment vertical="center"/>
    </xf>
    <xf numFmtId="174" fontId="10" fillId="5" borderId="5" xfId="0" applyNumberFormat="1" applyFont="1" applyFill="1" applyBorder="1" applyAlignment="1">
      <alignment vertical="center"/>
    </xf>
    <xf numFmtId="174" fontId="10" fillId="5" borderId="0" xfId="0" applyNumberFormat="1" applyFont="1" applyFill="1" applyAlignment="1">
      <alignment vertical="center"/>
    </xf>
    <xf numFmtId="167" fontId="5" fillId="5" borderId="6" xfId="0" applyNumberFormat="1" applyFont="1" applyFill="1" applyBorder="1" applyAlignment="1">
      <alignment vertical="center"/>
    </xf>
    <xf numFmtId="10" fontId="10" fillId="5" borderId="11" xfId="3" applyNumberFormat="1" applyFont="1" applyFill="1" applyBorder="1" applyAlignment="1">
      <alignment horizontal="center" vertical="center"/>
    </xf>
    <xf numFmtId="10" fontId="10" fillId="5" borderId="7" xfId="3" applyNumberFormat="1" applyFont="1" applyFill="1" applyBorder="1" applyAlignment="1">
      <alignment vertical="center"/>
    </xf>
    <xf numFmtId="10" fontId="5" fillId="5" borderId="6" xfId="3" applyNumberFormat="1" applyFont="1" applyFill="1" applyBorder="1" applyAlignment="1">
      <alignment vertical="center"/>
    </xf>
    <xf numFmtId="6" fontId="5" fillId="5" borderId="2" xfId="0" applyNumberFormat="1" applyFont="1" applyFill="1" applyBorder="1" applyAlignment="1">
      <alignment vertical="center"/>
    </xf>
    <xf numFmtId="8" fontId="5" fillId="5" borderId="5" xfId="0" applyNumberFormat="1" applyFont="1" applyFill="1" applyBorder="1" applyAlignment="1">
      <alignment vertical="center"/>
    </xf>
    <xf numFmtId="9" fontId="5" fillId="5" borderId="0" xfId="3" applyFont="1" applyFill="1" applyBorder="1" applyAlignment="1">
      <alignment vertical="center"/>
    </xf>
    <xf numFmtId="6" fontId="5" fillId="5" borderId="5" xfId="0" applyNumberFormat="1" applyFont="1" applyFill="1" applyBorder="1" applyAlignment="1">
      <alignment vertical="center"/>
    </xf>
    <xf numFmtId="0" fontId="26" fillId="5" borderId="5" xfId="0" applyFont="1" applyFill="1" applyBorder="1" applyAlignment="1">
      <alignment vertical="center"/>
    </xf>
    <xf numFmtId="9" fontId="5" fillId="5" borderId="9" xfId="3" applyFont="1" applyFill="1" applyBorder="1" applyAlignment="1">
      <alignment vertical="center"/>
    </xf>
    <xf numFmtId="164" fontId="10" fillId="5" borderId="0" xfId="1" applyNumberFormat="1" applyFont="1" applyFill="1" applyBorder="1" applyAlignment="1">
      <alignment vertical="center"/>
    </xf>
    <xf numFmtId="44" fontId="5" fillId="5" borderId="6" xfId="0" applyNumberFormat="1" applyFont="1" applyFill="1" applyBorder="1" applyAlignment="1">
      <alignment vertical="center"/>
    </xf>
    <xf numFmtId="0" fontId="5" fillId="5" borderId="31" xfId="0" applyFont="1" applyFill="1" applyBorder="1" applyAlignment="1">
      <alignment vertical="center"/>
    </xf>
    <xf numFmtId="0" fontId="5" fillId="5" borderId="32" xfId="0" applyFont="1" applyFill="1" applyBorder="1" applyAlignment="1">
      <alignment horizontal="left" vertical="center"/>
    </xf>
    <xf numFmtId="0" fontId="5" fillId="5" borderId="32" xfId="0" applyFont="1" applyFill="1" applyBorder="1" applyAlignment="1">
      <alignment vertical="center"/>
    </xf>
    <xf numFmtId="6" fontId="6" fillId="5" borderId="0" xfId="0" applyNumberFormat="1" applyFont="1" applyFill="1" applyAlignment="1">
      <alignment vertical="center"/>
    </xf>
    <xf numFmtId="6" fontId="11" fillId="5" borderId="0" xfId="5" applyNumberFormat="1" applyFont="1" applyFill="1" applyAlignment="1">
      <alignment vertical="center"/>
    </xf>
    <xf numFmtId="9" fontId="11" fillId="5" borderId="0" xfId="5" applyNumberFormat="1" applyFont="1" applyFill="1" applyAlignment="1">
      <alignment vertical="center"/>
    </xf>
    <xf numFmtId="6" fontId="11" fillId="5" borderId="7" xfId="5" applyNumberFormat="1" applyFont="1" applyFill="1" applyBorder="1" applyAlignment="1">
      <alignment vertical="center"/>
    </xf>
    <xf numFmtId="0" fontId="11" fillId="5" borderId="0" xfId="5" applyFont="1" applyFill="1" applyAlignment="1">
      <alignment horizontal="right" vertical="center"/>
    </xf>
    <xf numFmtId="6" fontId="11" fillId="5" borderId="0" xfId="5" applyNumberFormat="1" applyFont="1" applyFill="1" applyBorder="1" applyAlignment="1">
      <alignment vertical="center"/>
    </xf>
    <xf numFmtId="44" fontId="11" fillId="5" borderId="0" xfId="5" applyNumberFormat="1" applyFont="1" applyFill="1" applyBorder="1" applyAlignment="1">
      <alignment vertical="center"/>
    </xf>
    <xf numFmtId="0" fontId="11" fillId="5" borderId="7" xfId="5" applyFont="1" applyFill="1" applyBorder="1" applyAlignment="1">
      <alignment horizontal="right" vertical="center"/>
    </xf>
    <xf numFmtId="10" fontId="11" fillId="5" borderId="0" xfId="5" applyNumberFormat="1" applyFont="1" applyFill="1" applyBorder="1" applyAlignment="1">
      <alignment horizontal="center" vertical="center"/>
    </xf>
    <xf numFmtId="167" fontId="11" fillId="5" borderId="7" xfId="5" applyNumberFormat="1" applyFont="1" applyFill="1" applyBorder="1" applyAlignment="1">
      <alignment vertical="center"/>
    </xf>
    <xf numFmtId="10" fontId="11" fillId="5" borderId="0" xfId="5" applyNumberFormat="1" applyFont="1" applyFill="1" applyAlignment="1">
      <alignment horizontal="center" vertical="center"/>
    </xf>
    <xf numFmtId="0" fontId="27" fillId="5" borderId="0" xfId="5" applyFont="1" applyFill="1" applyBorder="1" applyAlignment="1">
      <alignment horizontal="right" vertical="center"/>
    </xf>
    <xf numFmtId="6" fontId="27" fillId="5" borderId="0" xfId="5" applyNumberFormat="1" applyFont="1" applyFill="1" applyAlignment="1">
      <alignment vertical="center"/>
    </xf>
    <xf numFmtId="168" fontId="11" fillId="5" borderId="0" xfId="5" applyNumberFormat="1" applyFont="1" applyFill="1" applyAlignment="1">
      <alignment horizontal="center" vertical="center"/>
    </xf>
    <xf numFmtId="167" fontId="11" fillId="5" borderId="0" xfId="3" applyNumberFormat="1" applyFont="1" applyFill="1" applyBorder="1" applyAlignment="1">
      <alignment vertical="center"/>
    </xf>
    <xf numFmtId="10" fontId="11" fillId="5" borderId="0" xfId="5" applyNumberFormat="1" applyFont="1" applyFill="1" applyAlignment="1">
      <alignment vertical="center"/>
    </xf>
    <xf numFmtId="167" fontId="11" fillId="5" borderId="0" xfId="2" applyNumberFormat="1" applyFont="1" applyFill="1" applyBorder="1" applyAlignment="1">
      <alignment vertical="center"/>
    </xf>
    <xf numFmtId="6" fontId="11" fillId="5" borderId="0" xfId="3" applyNumberFormat="1" applyFont="1" applyFill="1" applyAlignment="1">
      <alignment vertical="center"/>
    </xf>
    <xf numFmtId="170" fontId="11" fillId="5" borderId="0" xfId="5" applyNumberFormat="1" applyFont="1" applyFill="1" applyAlignment="1">
      <alignment horizontal="center" vertical="center"/>
    </xf>
    <xf numFmtId="0" fontId="5" fillId="5" borderId="0" xfId="0" applyFont="1" applyFill="1" applyAlignment="1">
      <alignment horizontal="center" vertical="center"/>
    </xf>
    <xf numFmtId="167" fontId="11" fillId="5" borderId="7" xfId="2" applyNumberFormat="1" applyFont="1" applyFill="1" applyBorder="1" applyAlignment="1">
      <alignment vertical="center"/>
    </xf>
    <xf numFmtId="167" fontId="11" fillId="5" borderId="0" xfId="3" applyNumberFormat="1" applyFont="1" applyFill="1" applyAlignment="1">
      <alignment vertical="center"/>
    </xf>
    <xf numFmtId="10" fontId="11" fillId="5" borderId="0" xfId="3" applyNumberFormat="1" applyFont="1" applyFill="1" applyAlignment="1">
      <alignment horizontal="center" vertical="center"/>
    </xf>
    <xf numFmtId="6" fontId="5" fillId="5" borderId="0" xfId="0" applyNumberFormat="1" applyFont="1" applyFill="1" applyAlignment="1">
      <alignment horizontal="center" vertical="center"/>
    </xf>
    <xf numFmtId="167" fontId="27" fillId="5" borderId="0" xfId="2" applyNumberFormat="1" applyFont="1" applyFill="1" applyBorder="1" applyAlignment="1">
      <alignment vertical="center"/>
    </xf>
    <xf numFmtId="167" fontId="11" fillId="5" borderId="0" xfId="2" applyNumberFormat="1" applyFont="1" applyFill="1" applyAlignment="1">
      <alignment vertical="center"/>
    </xf>
    <xf numFmtId="10" fontId="11" fillId="5" borderId="0" xfId="3" applyNumberFormat="1" applyFont="1" applyFill="1" applyAlignment="1">
      <alignment vertical="center"/>
    </xf>
    <xf numFmtId="170" fontId="11" fillId="5" borderId="0" xfId="3" applyNumberFormat="1" applyFont="1" applyFill="1" applyBorder="1" applyAlignment="1">
      <alignment vertical="center"/>
    </xf>
    <xf numFmtId="9" fontId="11" fillId="5" borderId="0" xfId="3" applyFont="1" applyFill="1" applyBorder="1" applyAlignment="1">
      <alignment vertical="center"/>
    </xf>
    <xf numFmtId="8" fontId="11" fillId="5" borderId="0" xfId="5" applyNumberFormat="1" applyFont="1" applyFill="1" applyAlignment="1">
      <alignment vertical="center"/>
    </xf>
    <xf numFmtId="0" fontId="11" fillId="5" borderId="4" xfId="5" applyFont="1" applyFill="1" applyBorder="1" applyAlignment="1">
      <alignment vertical="center"/>
    </xf>
    <xf numFmtId="0" fontId="11" fillId="5" borderId="10" xfId="5" applyFont="1" applyFill="1" applyBorder="1" applyAlignment="1">
      <alignment vertical="center"/>
    </xf>
    <xf numFmtId="0" fontId="5" fillId="5" borderId="5" xfId="5" applyFont="1" applyFill="1" applyBorder="1" applyAlignment="1">
      <alignment vertical="center"/>
    </xf>
    <xf numFmtId="0" fontId="11" fillId="5" borderId="6" xfId="5" applyFont="1" applyFill="1" applyBorder="1" applyAlignment="1">
      <alignment vertical="center"/>
    </xf>
    <xf numFmtId="0" fontId="5" fillId="5" borderId="0" xfId="5" applyFont="1" applyFill="1" applyBorder="1" applyAlignment="1">
      <alignment horizontal="right" vertical="center"/>
    </xf>
    <xf numFmtId="6" fontId="5" fillId="5" borderId="0" xfId="5" applyNumberFormat="1" applyFont="1" applyFill="1" applyBorder="1" applyAlignment="1">
      <alignment vertical="center"/>
    </xf>
    <xf numFmtId="6" fontId="5" fillId="5" borderId="7" xfId="5" applyNumberFormat="1" applyFont="1" applyFill="1" applyBorder="1" applyAlignment="1">
      <alignment vertical="center"/>
    </xf>
    <xf numFmtId="9" fontId="5" fillId="5" borderId="0" xfId="3" applyFont="1" applyFill="1" applyAlignment="1">
      <alignment horizontal="center" vertical="center"/>
    </xf>
    <xf numFmtId="175" fontId="5" fillId="5" borderId="0" xfId="2" applyNumberFormat="1" applyFont="1" applyFill="1" applyBorder="1" applyAlignment="1">
      <alignment vertical="center"/>
    </xf>
    <xf numFmtId="0" fontId="5" fillId="5" borderId="33" xfId="0" applyFont="1" applyFill="1" applyBorder="1" applyAlignment="1">
      <alignment vertical="center"/>
    </xf>
    <xf numFmtId="0" fontId="5" fillId="5" borderId="9" xfId="0" applyFont="1" applyFill="1" applyBorder="1" applyAlignment="1">
      <alignment horizontal="right" vertical="center"/>
    </xf>
    <xf numFmtId="6" fontId="5" fillId="5" borderId="9" xfId="0" applyNumberFormat="1" applyFont="1" applyFill="1" applyBorder="1" applyAlignment="1">
      <alignment vertical="center"/>
    </xf>
    <xf numFmtId="176" fontId="5" fillId="5" borderId="0" xfId="0" applyNumberFormat="1" applyFont="1" applyFill="1" applyAlignment="1">
      <alignment vertical="center"/>
    </xf>
    <xf numFmtId="176" fontId="5" fillId="5" borderId="33" xfId="0" applyNumberFormat="1" applyFont="1" applyFill="1" applyBorder="1" applyAlignment="1">
      <alignment vertical="center"/>
    </xf>
    <xf numFmtId="44" fontId="5" fillId="5" borderId="0" xfId="2" applyFont="1" applyFill="1" applyAlignment="1">
      <alignment vertical="center"/>
    </xf>
    <xf numFmtId="0" fontId="5" fillId="5" borderId="27" xfId="0" applyFont="1" applyFill="1" applyBorder="1" applyAlignment="1">
      <alignment vertical="center"/>
    </xf>
    <xf numFmtId="167" fontId="5" fillId="5" borderId="3" xfId="2" applyNumberFormat="1" applyFont="1" applyFill="1" applyBorder="1" applyAlignment="1">
      <alignment vertical="center"/>
    </xf>
    <xf numFmtId="0" fontId="10" fillId="5" borderId="4" xfId="0" applyFont="1" applyFill="1" applyBorder="1" applyAlignment="1">
      <alignment vertical="center"/>
    </xf>
    <xf numFmtId="0" fontId="6" fillId="5" borderId="6" xfId="0" applyFont="1" applyFill="1" applyBorder="1" applyAlignment="1">
      <alignment vertical="center"/>
    </xf>
    <xf numFmtId="167" fontId="11" fillId="5" borderId="0" xfId="5" applyNumberFormat="1" applyFont="1" applyFill="1" applyAlignment="1">
      <alignment vertical="center"/>
    </xf>
  </cellXfs>
  <cellStyles count="7">
    <cellStyle name="Bad" xfId="5" builtinId="27"/>
    <cellStyle name="Comma" xfId="1" builtinId="3"/>
    <cellStyle name="Currency" xfId="2" builtinId="4"/>
    <cellStyle name="Good" xfId="4" builtinId="26"/>
    <cellStyle name="Normal" xfId="0" builtinId="0"/>
    <cellStyle name="Normal 2" xfId="6" xr:uid="{0E31FD5A-CAD3-7148-B7C8-64197401D065}"/>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1333501</xdr:colOff>
      <xdr:row>110</xdr:row>
      <xdr:rowOff>121742</xdr:rowOff>
    </xdr:from>
    <xdr:to>
      <xdr:col>2</xdr:col>
      <xdr:colOff>1028700</xdr:colOff>
      <xdr:row>114</xdr:row>
      <xdr:rowOff>84106</xdr:rowOff>
    </xdr:to>
    <xdr:pic>
      <xdr:nvPicPr>
        <xdr:cNvPr id="2" name="Picture 1">
          <a:extLst>
            <a:ext uri="{FF2B5EF4-FFF2-40B4-BE49-F238E27FC236}">
              <a16:creationId xmlns:a16="http://schemas.microsoft.com/office/drawing/2014/main" id="{47063D81-5518-9B42-8654-A8F709F13C99}"/>
            </a:ext>
          </a:extLst>
        </xdr:cNvPr>
        <xdr:cNvPicPr>
          <a:picLocks noChangeAspect="1"/>
        </xdr:cNvPicPr>
      </xdr:nvPicPr>
      <xdr:blipFill>
        <a:blip xmlns:r="http://schemas.openxmlformats.org/officeDocument/2006/relationships" r:embed="rId1"/>
        <a:stretch>
          <a:fillRect/>
        </a:stretch>
      </xdr:blipFill>
      <xdr:spPr>
        <a:xfrm>
          <a:off x="1511301" y="21483142"/>
          <a:ext cx="2082799" cy="927564"/>
        </a:xfrm>
        <a:prstGeom prst="rect">
          <a:avLst/>
        </a:prstGeom>
      </xdr:spPr>
    </xdr:pic>
    <xdr:clientData/>
  </xdr:twoCellAnchor>
  <xdr:twoCellAnchor editAs="oneCell">
    <xdr:from>
      <xdr:col>6</xdr:col>
      <xdr:colOff>0</xdr:colOff>
      <xdr:row>231</xdr:row>
      <xdr:rowOff>12700</xdr:rowOff>
    </xdr:from>
    <xdr:to>
      <xdr:col>9</xdr:col>
      <xdr:colOff>67468</xdr:colOff>
      <xdr:row>236</xdr:row>
      <xdr:rowOff>51980</xdr:rowOff>
    </xdr:to>
    <xdr:pic>
      <xdr:nvPicPr>
        <xdr:cNvPr id="3" name="Picture 2">
          <a:extLst>
            <a:ext uri="{FF2B5EF4-FFF2-40B4-BE49-F238E27FC236}">
              <a16:creationId xmlns:a16="http://schemas.microsoft.com/office/drawing/2014/main" id="{86C83EB7-8930-4D4E-B7A8-47476199C251}"/>
            </a:ext>
          </a:extLst>
        </xdr:cNvPr>
        <xdr:cNvPicPr>
          <a:picLocks noChangeAspect="1"/>
        </xdr:cNvPicPr>
      </xdr:nvPicPr>
      <xdr:blipFill>
        <a:blip xmlns:r="http://schemas.openxmlformats.org/officeDocument/2006/relationships" r:embed="rId2"/>
        <a:stretch>
          <a:fillRect/>
        </a:stretch>
      </xdr:blipFill>
      <xdr:spPr>
        <a:xfrm>
          <a:off x="7810500" y="43484800"/>
          <a:ext cx="3267868" cy="928280"/>
        </a:xfrm>
        <a:prstGeom prst="rect">
          <a:avLst/>
        </a:prstGeom>
      </xdr:spPr>
    </xdr:pic>
    <xdr:clientData/>
  </xdr:twoCellAnchor>
  <xdr:twoCellAnchor editAs="oneCell">
    <xdr:from>
      <xdr:col>16</xdr:col>
      <xdr:colOff>800099</xdr:colOff>
      <xdr:row>252</xdr:row>
      <xdr:rowOff>38100</xdr:rowOff>
    </xdr:from>
    <xdr:to>
      <xdr:col>18</xdr:col>
      <xdr:colOff>784588</xdr:colOff>
      <xdr:row>259</xdr:row>
      <xdr:rowOff>81348</xdr:rowOff>
    </xdr:to>
    <xdr:pic>
      <xdr:nvPicPr>
        <xdr:cNvPr id="4" name="Picture 3">
          <a:extLst>
            <a:ext uri="{FF2B5EF4-FFF2-40B4-BE49-F238E27FC236}">
              <a16:creationId xmlns:a16="http://schemas.microsoft.com/office/drawing/2014/main" id="{7A05D4E7-9DEF-234D-B978-FA4415642BD2}"/>
            </a:ext>
          </a:extLst>
        </xdr:cNvPr>
        <xdr:cNvPicPr>
          <a:picLocks noChangeAspect="1"/>
        </xdr:cNvPicPr>
      </xdr:nvPicPr>
      <xdr:blipFill>
        <a:blip xmlns:r="http://schemas.openxmlformats.org/officeDocument/2006/relationships" r:embed="rId3"/>
        <a:stretch>
          <a:fillRect/>
        </a:stretch>
      </xdr:blipFill>
      <xdr:spPr>
        <a:xfrm>
          <a:off x="20942299" y="47320200"/>
          <a:ext cx="2245089" cy="1300548"/>
        </a:xfrm>
        <a:prstGeom prst="rect">
          <a:avLst/>
        </a:prstGeom>
      </xdr:spPr>
    </xdr:pic>
    <xdr:clientData/>
  </xdr:twoCellAnchor>
  <xdr:twoCellAnchor editAs="oneCell">
    <xdr:from>
      <xdr:col>13</xdr:col>
      <xdr:colOff>918442</xdr:colOff>
      <xdr:row>47</xdr:row>
      <xdr:rowOff>158749</xdr:rowOff>
    </xdr:from>
    <xdr:to>
      <xdr:col>14</xdr:col>
      <xdr:colOff>1866468</xdr:colOff>
      <xdr:row>56</xdr:row>
      <xdr:rowOff>95249</xdr:rowOff>
    </xdr:to>
    <xdr:pic>
      <xdr:nvPicPr>
        <xdr:cNvPr id="5" name="Picture 4">
          <a:extLst>
            <a:ext uri="{FF2B5EF4-FFF2-40B4-BE49-F238E27FC236}">
              <a16:creationId xmlns:a16="http://schemas.microsoft.com/office/drawing/2014/main" id="{BE533EC7-AC4C-2E41-B036-32B1BDDCA7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602942" y="8743949"/>
          <a:ext cx="2141826" cy="1562100"/>
        </a:xfrm>
        <a:prstGeom prst="rect">
          <a:avLst/>
        </a:prstGeom>
      </xdr:spPr>
    </xdr:pic>
    <xdr:clientData/>
  </xdr:twoCellAnchor>
  <xdr:twoCellAnchor editAs="oneCell">
    <xdr:from>
      <xdr:col>7</xdr:col>
      <xdr:colOff>1066800</xdr:colOff>
      <xdr:row>12</xdr:row>
      <xdr:rowOff>85258</xdr:rowOff>
    </xdr:from>
    <xdr:to>
      <xdr:col>10</xdr:col>
      <xdr:colOff>305370</xdr:colOff>
      <xdr:row>21</xdr:row>
      <xdr:rowOff>47625</xdr:rowOff>
    </xdr:to>
    <xdr:pic>
      <xdr:nvPicPr>
        <xdr:cNvPr id="6" name="Picture 5">
          <a:extLst>
            <a:ext uri="{FF2B5EF4-FFF2-40B4-BE49-F238E27FC236}">
              <a16:creationId xmlns:a16="http://schemas.microsoft.com/office/drawing/2014/main" id="{54E848F6-1669-D641-8A88-24BC77262D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91700" y="2282358"/>
          <a:ext cx="2502470" cy="1613367"/>
        </a:xfrm>
        <a:prstGeom prst="rect">
          <a:avLst/>
        </a:prstGeom>
      </xdr:spPr>
    </xdr:pic>
    <xdr:clientData/>
  </xdr:twoCellAnchor>
  <xdr:twoCellAnchor editAs="oneCell">
    <xdr:from>
      <xdr:col>9</xdr:col>
      <xdr:colOff>813564</xdr:colOff>
      <xdr:row>91</xdr:row>
      <xdr:rowOff>203200</xdr:rowOff>
    </xdr:from>
    <xdr:to>
      <xdr:col>10</xdr:col>
      <xdr:colOff>876300</xdr:colOff>
      <xdr:row>94</xdr:row>
      <xdr:rowOff>166110</xdr:rowOff>
    </xdr:to>
    <xdr:pic>
      <xdr:nvPicPr>
        <xdr:cNvPr id="7" name="Picture 6">
          <a:extLst>
            <a:ext uri="{FF2B5EF4-FFF2-40B4-BE49-F238E27FC236}">
              <a16:creationId xmlns:a16="http://schemas.microsoft.com/office/drawing/2014/main" id="{3D21AD9F-1D4A-1A43-9A68-7862BA8C10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824464" y="16979900"/>
          <a:ext cx="1040636" cy="686810"/>
        </a:xfrm>
        <a:prstGeom prst="rect">
          <a:avLst/>
        </a:prstGeom>
      </xdr:spPr>
    </xdr:pic>
    <xdr:clientData/>
  </xdr:twoCellAnchor>
  <xdr:twoCellAnchor editAs="oneCell">
    <xdr:from>
      <xdr:col>1</xdr:col>
      <xdr:colOff>139699</xdr:colOff>
      <xdr:row>66</xdr:row>
      <xdr:rowOff>101479</xdr:rowOff>
    </xdr:from>
    <xdr:to>
      <xdr:col>1</xdr:col>
      <xdr:colOff>1254124</xdr:colOff>
      <xdr:row>70</xdr:row>
      <xdr:rowOff>55746</xdr:rowOff>
    </xdr:to>
    <xdr:pic>
      <xdr:nvPicPr>
        <xdr:cNvPr id="8" name="Picture 7">
          <a:extLst>
            <a:ext uri="{FF2B5EF4-FFF2-40B4-BE49-F238E27FC236}">
              <a16:creationId xmlns:a16="http://schemas.microsoft.com/office/drawing/2014/main" id="{A7169CBA-8E03-BB48-BD89-002F272295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7499" y="12153779"/>
          <a:ext cx="1114425" cy="754367"/>
        </a:xfrm>
        <a:prstGeom prst="rect">
          <a:avLst/>
        </a:prstGeom>
      </xdr:spPr>
    </xdr:pic>
    <xdr:clientData/>
  </xdr:twoCellAnchor>
  <xdr:twoCellAnchor editAs="oneCell">
    <xdr:from>
      <xdr:col>4</xdr:col>
      <xdr:colOff>49429</xdr:colOff>
      <xdr:row>15</xdr:row>
      <xdr:rowOff>53810</xdr:rowOff>
    </xdr:from>
    <xdr:to>
      <xdr:col>5</xdr:col>
      <xdr:colOff>295028</xdr:colOff>
      <xdr:row>21</xdr:row>
      <xdr:rowOff>72456</xdr:rowOff>
    </xdr:to>
    <xdr:pic>
      <xdr:nvPicPr>
        <xdr:cNvPr id="9" name="Picture 8">
          <a:extLst>
            <a:ext uri="{FF2B5EF4-FFF2-40B4-BE49-F238E27FC236}">
              <a16:creationId xmlns:a16="http://schemas.microsoft.com/office/drawing/2014/main" id="{C8D61FAF-E8AE-EB42-8D10-7FF2D98366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88179" y="2784310"/>
          <a:ext cx="1547349" cy="1098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rryburka/Desktop/ND/ND%20BOE%20v53.2%20Lab%20Additions%20and%202018%20F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sh Flow"/>
      <sheetName val="Income Stmt"/>
      <sheetName val="MASTER"/>
      <sheetName val="Sales and CoGS"/>
      <sheetName val="Bal Sht"/>
      <sheetName val=" Eq Valuation"/>
      <sheetName val="073117 Drug Prices.csv"/>
      <sheetName val="Research"/>
      <sheetName val="Neil Ross"/>
      <sheetName val="1.5 Growth Chart"/>
      <sheetName val="1.4 Series A_Print Version"/>
      <sheetName val="2. Sample Round"/>
      <sheetName val="1.1 Pre-Investment Cap Table"/>
      <sheetName val="1.2 Convertible Notes"/>
      <sheetName val="1.3 Series A Cap Table"/>
      <sheetName val="3.1 Pre $ Capitalization"/>
      <sheetName val="3.3 Up-Round Capitalization"/>
    </sheetNames>
    <sheetDataSet>
      <sheetData sheetId="0" refreshError="1"/>
      <sheetData sheetId="1">
        <row r="3">
          <cell r="E3">
            <v>4780967.5</v>
          </cell>
          <cell r="G3">
            <v>9130211.25</v>
          </cell>
        </row>
        <row r="19">
          <cell r="E19">
            <v>4780967.5</v>
          </cell>
          <cell r="G19">
            <v>9130211.25</v>
          </cell>
        </row>
      </sheetData>
      <sheetData sheetId="2">
        <row r="91">
          <cell r="D91">
            <v>-2351746.375</v>
          </cell>
          <cell r="E91">
            <v>-2607317.875</v>
          </cell>
          <cell r="F91">
            <v>-5841057.5</v>
          </cell>
          <cell r="G91">
            <v>-935097.15000000037</v>
          </cell>
          <cell r="H91">
            <v>22566154.000300005</v>
          </cell>
          <cell r="I91">
            <v>31776289.383946504</v>
          </cell>
          <cell r="J91">
            <v>54887542.284546949</v>
          </cell>
          <cell r="K91">
            <v>83115979.128526479</v>
          </cell>
          <cell r="L91">
            <v>156189400.10351533</v>
          </cell>
          <cell r="M91">
            <v>301824435.58504832</v>
          </cell>
        </row>
      </sheetData>
      <sheetData sheetId="3">
        <row r="5">
          <cell r="D5">
            <v>4780967.5</v>
          </cell>
          <cell r="L5">
            <v>0.36069029751653664</v>
          </cell>
        </row>
        <row r="6">
          <cell r="D6">
            <v>478096.75</v>
          </cell>
          <cell r="M6">
            <v>0.63278999564304672</v>
          </cell>
        </row>
        <row r="7">
          <cell r="D7">
            <v>5259064.25</v>
          </cell>
          <cell r="L7">
            <v>7.6494660425810809E-2</v>
          </cell>
        </row>
        <row r="8">
          <cell r="L8">
            <v>3.2661613822614829E-2</v>
          </cell>
          <cell r="R8">
            <v>60855704.5693371</v>
          </cell>
        </row>
        <row r="9">
          <cell r="D9">
            <v>40500000</v>
          </cell>
        </row>
        <row r="11">
          <cell r="D11">
            <v>9130211.25</v>
          </cell>
        </row>
        <row r="12">
          <cell r="L12">
            <v>0.10802323888979021</v>
          </cell>
        </row>
        <row r="13">
          <cell r="L13">
            <v>0.15003049121873729</v>
          </cell>
        </row>
        <row r="15">
          <cell r="K15">
            <v>15803031.130158609</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621A3-B9EE-314F-B573-132305C66019}">
  <dimension ref="A1:AY414"/>
  <sheetViews>
    <sheetView tabSelected="1" topLeftCell="A34" zoomScale="80" zoomScaleNormal="80" zoomScalePageLayoutView="80" workbookViewId="0">
      <selection activeCell="M68" sqref="M68"/>
    </sheetView>
  </sheetViews>
  <sheetFormatPr baseColWidth="10" defaultRowHeight="14" x14ac:dyDescent="0.2"/>
  <cols>
    <col min="1" max="1" width="2.33203125" style="1" customWidth="1"/>
    <col min="2" max="2" width="31.33203125" style="3" customWidth="1"/>
    <col min="3" max="3" width="14.83203125" style="3" customWidth="1"/>
    <col min="4" max="4" width="17.6640625" style="3" customWidth="1"/>
    <col min="5" max="5" width="17.1640625" style="3" customWidth="1"/>
    <col min="6" max="6" width="16.5" style="3" customWidth="1"/>
    <col min="7" max="7" width="12" style="3" customWidth="1"/>
    <col min="8" max="8" width="14.33203125" style="3" customWidth="1"/>
    <col min="9" max="9" width="15.6640625" style="3" customWidth="1"/>
    <col min="10" max="10" width="12.83203125" style="3" customWidth="1"/>
    <col min="11" max="11" width="14.5" style="3" customWidth="1"/>
    <col min="12" max="12" width="16.1640625" style="3" customWidth="1"/>
    <col min="13" max="13" width="17.83203125" style="3" customWidth="1"/>
    <col min="14" max="14" width="15.6640625" style="3" customWidth="1"/>
    <col min="15" max="15" width="27.5" style="3" customWidth="1"/>
    <col min="16" max="16" width="15.33203125" style="3" customWidth="1"/>
    <col min="17" max="17" width="16" style="3" customWidth="1"/>
    <col min="18" max="18" width="13.6640625" style="3" customWidth="1"/>
    <col min="19" max="19" width="17.6640625" style="3" customWidth="1"/>
    <col min="20" max="21" width="13.6640625" style="4" customWidth="1"/>
    <col min="22" max="22" width="13.33203125" style="3" customWidth="1"/>
    <col min="23" max="23" width="20.33203125" style="3" customWidth="1"/>
    <col min="24" max="24" width="37.6640625" style="3" customWidth="1"/>
    <col min="25" max="25" width="13.1640625" style="3" customWidth="1"/>
    <col min="26" max="26" width="15.6640625" style="3" customWidth="1"/>
    <col min="27" max="27" width="13.6640625" style="3" customWidth="1"/>
    <col min="28" max="28" width="12.6640625" style="3" customWidth="1"/>
    <col min="29" max="29" width="13.83203125" style="3" customWidth="1"/>
    <col min="30" max="30" width="13.33203125" style="3" customWidth="1"/>
    <col min="31" max="31" width="19.1640625" style="3" customWidth="1"/>
    <col min="32" max="32" width="17" style="3" customWidth="1"/>
    <col min="33" max="33" width="14" style="3" bestFit="1" customWidth="1"/>
    <col min="34" max="34" width="16.5" style="3" customWidth="1"/>
    <col min="35" max="36" width="14.83203125" style="3" customWidth="1"/>
    <col min="37" max="37" width="51.5" style="3" bestFit="1" customWidth="1"/>
    <col min="38" max="38" width="37.33203125" style="3" bestFit="1" customWidth="1"/>
    <col min="39" max="39" width="61.33203125" style="3" bestFit="1" customWidth="1"/>
    <col min="40" max="40" width="10" style="3" bestFit="1" customWidth="1"/>
    <col min="41" max="43" width="13.33203125" style="3" customWidth="1"/>
    <col min="44" max="44" width="14.5" style="3" customWidth="1"/>
    <col min="45" max="45" width="17.6640625" style="3" customWidth="1"/>
    <col min="46" max="46" width="13.1640625" style="3" customWidth="1"/>
    <col min="47" max="47" width="12.6640625" style="3" customWidth="1"/>
    <col min="48" max="48" width="12.5" style="3" customWidth="1"/>
    <col min="49" max="49" width="13.5" style="3" customWidth="1"/>
    <col min="50" max="50" width="13.83203125" style="3" customWidth="1"/>
    <col min="51" max="51" width="13.5" style="3" bestFit="1" customWidth="1"/>
    <col min="52" max="52" width="10.83203125" style="3"/>
    <col min="53" max="53" width="14.5" style="3" customWidth="1"/>
    <col min="54" max="54" width="7" style="3" customWidth="1"/>
    <col min="55" max="56" width="10.83203125" style="3"/>
    <col min="57" max="57" width="12.5" style="3" customWidth="1"/>
    <col min="58" max="58" width="12.83203125" style="3" bestFit="1" customWidth="1"/>
    <col min="59" max="59" width="17" style="3" customWidth="1"/>
    <col min="60" max="60" width="13.6640625" style="3" bestFit="1" customWidth="1"/>
    <col min="61" max="61" width="10.83203125" style="3"/>
    <col min="62" max="62" width="11.6640625" style="3" bestFit="1" customWidth="1"/>
    <col min="63" max="63" width="12.83203125" style="3" bestFit="1" customWidth="1"/>
    <col min="64" max="64" width="10.6640625" style="3" bestFit="1" customWidth="1"/>
    <col min="65" max="16384" width="10.83203125" style="3"/>
  </cols>
  <sheetData>
    <row r="1" spans="1:51" ht="15" thickBot="1" x14ac:dyDescent="0.25">
      <c r="A1" s="4"/>
      <c r="B1" s="4"/>
      <c r="C1" s="4"/>
      <c r="D1" s="4"/>
      <c r="E1" s="4"/>
      <c r="F1" s="4"/>
      <c r="G1" s="4"/>
      <c r="H1" s="4"/>
      <c r="I1" s="4"/>
      <c r="J1" s="4"/>
      <c r="K1" s="4"/>
      <c r="L1" s="146"/>
      <c r="M1" s="4"/>
      <c r="N1" s="4"/>
      <c r="O1" s="4"/>
      <c r="P1" s="4"/>
      <c r="Q1" s="4"/>
      <c r="R1" s="4"/>
      <c r="S1" s="4"/>
    </row>
    <row r="2" spans="1:51" ht="15" thickBot="1" x14ac:dyDescent="0.25">
      <c r="A2" s="4"/>
      <c r="B2" s="158" t="s">
        <v>0</v>
      </c>
      <c r="C2" s="159"/>
      <c r="D2" s="160"/>
      <c r="E2" s="159"/>
      <c r="F2" s="161"/>
      <c r="G2" s="4"/>
      <c r="H2" s="4"/>
      <c r="I2" s="4"/>
      <c r="J2" s="4"/>
      <c r="K2" s="4"/>
      <c r="L2" s="146"/>
      <c r="M2" s="4"/>
      <c r="N2" s="162"/>
      <c r="O2" s="4"/>
      <c r="P2" s="4"/>
      <c r="Q2" s="4"/>
      <c r="R2" s="4"/>
      <c r="S2" s="4"/>
      <c r="W2" s="8" t="s">
        <v>1</v>
      </c>
      <c r="X2" s="9"/>
      <c r="Y2" s="9"/>
      <c r="Z2" s="9"/>
      <c r="AA2" s="9"/>
      <c r="AB2" s="9"/>
      <c r="AC2" s="9"/>
      <c r="AD2" s="9"/>
      <c r="AE2" s="9"/>
    </row>
    <row r="3" spans="1:51" ht="15" thickBot="1" x14ac:dyDescent="0.25">
      <c r="A3" s="4"/>
      <c r="B3" s="163"/>
      <c r="C3" s="164" t="s">
        <v>2</v>
      </c>
      <c r="D3" s="165">
        <f>100000000*(1/5)</f>
        <v>20000000</v>
      </c>
      <c r="E3" s="4"/>
      <c r="F3" s="132"/>
      <c r="G3" s="4"/>
      <c r="H3" s="166" t="s">
        <v>3</v>
      </c>
      <c r="I3" s="167"/>
      <c r="J3" s="168"/>
      <c r="K3" s="169"/>
      <c r="L3" s="170"/>
      <c r="M3" s="4"/>
      <c r="N3" s="162" t="s">
        <v>4</v>
      </c>
      <c r="O3" s="171">
        <f>D3</f>
        <v>20000000</v>
      </c>
      <c r="P3" s="4"/>
      <c r="Q3" s="4"/>
      <c r="R3" s="4"/>
      <c r="S3" s="4"/>
      <c r="V3" s="3">
        <v>1</v>
      </c>
      <c r="W3" s="9" t="s">
        <v>5</v>
      </c>
      <c r="X3" s="9"/>
      <c r="Y3" s="9"/>
      <c r="Z3" s="9"/>
      <c r="AA3" s="9"/>
      <c r="AB3" s="9"/>
      <c r="AC3" s="9"/>
      <c r="AD3" s="9"/>
      <c r="AE3" s="9"/>
      <c r="AK3" s="13" t="s">
        <v>6</v>
      </c>
      <c r="AL3" s="14"/>
      <c r="AM3" s="14"/>
      <c r="AN3" s="14"/>
    </row>
    <row r="4" spans="1:51" x14ac:dyDescent="0.2">
      <c r="A4" s="4"/>
      <c r="B4" s="131"/>
      <c r="C4" s="172" t="s">
        <v>7</v>
      </c>
      <c r="D4" s="173">
        <v>10000000</v>
      </c>
      <c r="E4" s="159"/>
      <c r="F4" s="174"/>
      <c r="G4" s="4"/>
      <c r="H4" s="175"/>
      <c r="I4" s="4"/>
      <c r="J4" s="4"/>
      <c r="K4" s="176" t="s">
        <v>8</v>
      </c>
      <c r="L4" s="146"/>
      <c r="M4" s="4"/>
      <c r="N4" s="162" t="s">
        <v>9</v>
      </c>
      <c r="O4" s="171">
        <f>D4</f>
        <v>10000000</v>
      </c>
      <c r="P4" s="4" t="s">
        <v>10</v>
      </c>
      <c r="Q4" s="4"/>
      <c r="R4" s="4"/>
      <c r="S4" s="4"/>
      <c r="V4" s="3">
        <f>V3+1</f>
        <v>2</v>
      </c>
      <c r="W4" s="9" t="s">
        <v>11</v>
      </c>
      <c r="X4" s="9"/>
      <c r="Y4" s="9"/>
      <c r="Z4" s="9"/>
      <c r="AA4" s="9"/>
      <c r="AB4" s="9"/>
      <c r="AC4" s="9"/>
      <c r="AD4" s="9"/>
      <c r="AE4" s="9"/>
      <c r="AK4" s="17"/>
      <c r="AL4" s="18" t="s">
        <v>12</v>
      </c>
      <c r="AM4" s="19">
        <v>0.4</v>
      </c>
      <c r="AN4" s="20" t="s">
        <v>13</v>
      </c>
    </row>
    <row r="5" spans="1:51" x14ac:dyDescent="0.2">
      <c r="A5" s="4"/>
      <c r="B5" s="131"/>
      <c r="C5" s="177" t="s">
        <v>14</v>
      </c>
      <c r="D5" s="171">
        <f>D4*F5</f>
        <v>5699999.9999999991</v>
      </c>
      <c r="E5" s="178">
        <f>D5/D8</f>
        <v>0.48614072494669502</v>
      </c>
      <c r="F5" s="179">
        <v>0.56999999999999995</v>
      </c>
      <c r="G5" s="4"/>
      <c r="H5" s="175"/>
      <c r="I5" s="4"/>
      <c r="J5" s="4"/>
      <c r="K5" s="176" t="s">
        <v>15</v>
      </c>
      <c r="L5" s="180"/>
      <c r="M5" s="4"/>
      <c r="N5" s="162" t="s">
        <v>16</v>
      </c>
      <c r="O5" s="181">
        <f>D7</f>
        <v>1725000</v>
      </c>
      <c r="P5" s="4" t="s">
        <v>17</v>
      </c>
      <c r="Q5" s="4"/>
      <c r="R5" s="4"/>
      <c r="S5" s="4"/>
      <c r="V5" s="3">
        <f>V4+1</f>
        <v>3</v>
      </c>
      <c r="W5" s="9" t="s">
        <v>18</v>
      </c>
      <c r="X5" s="9"/>
      <c r="Y5" s="9"/>
      <c r="Z5" s="9"/>
      <c r="AA5" s="9"/>
      <c r="AB5" s="9"/>
      <c r="AC5" s="9"/>
      <c r="AD5" s="9"/>
      <c r="AE5" s="9"/>
      <c r="AK5" s="17"/>
      <c r="AL5" s="22" t="s">
        <v>19</v>
      </c>
      <c r="AM5" s="23">
        <v>48</v>
      </c>
      <c r="AN5" s="20" t="s">
        <v>20</v>
      </c>
    </row>
    <row r="6" spans="1:51" ht="15" thickBot="1" x14ac:dyDescent="0.25">
      <c r="A6" s="4"/>
      <c r="B6" s="131"/>
      <c r="C6" s="182" t="s">
        <v>21</v>
      </c>
      <c r="D6" s="183">
        <f>D4*F6</f>
        <v>4300000</v>
      </c>
      <c r="E6" s="184">
        <f>D6/D8</f>
        <v>0.36673773987206826</v>
      </c>
      <c r="F6" s="185">
        <v>0.43</v>
      </c>
      <c r="G6" s="4"/>
      <c r="H6" s="175"/>
      <c r="I6" s="4"/>
      <c r="J6" s="4"/>
      <c r="K6" s="186"/>
      <c r="L6" s="187"/>
      <c r="M6" s="4"/>
      <c r="N6" s="162"/>
      <c r="O6" s="171">
        <f>SUM(O4:O5)</f>
        <v>11725000</v>
      </c>
      <c r="P6" s="4" t="s">
        <v>22</v>
      </c>
      <c r="Q6" s="4"/>
      <c r="R6" s="4"/>
      <c r="S6" s="4"/>
      <c r="V6" s="3">
        <f>V5+1</f>
        <v>4</v>
      </c>
      <c r="W6" s="9" t="s">
        <v>23</v>
      </c>
      <c r="X6" s="9"/>
      <c r="Y6" s="9"/>
      <c r="Z6" s="9"/>
      <c r="AA6" s="9"/>
      <c r="AB6" s="9"/>
      <c r="AC6" s="9"/>
      <c r="AD6" s="9"/>
      <c r="AE6" s="9"/>
      <c r="AK6" s="17"/>
      <c r="AL6" s="22" t="s">
        <v>24</v>
      </c>
      <c r="AM6" s="23">
        <v>2</v>
      </c>
      <c r="AN6" s="20" t="s">
        <v>25</v>
      </c>
    </row>
    <row r="7" spans="1:51" x14ac:dyDescent="0.2">
      <c r="A7" s="4"/>
      <c r="B7" s="131"/>
      <c r="C7" s="164" t="s">
        <v>26</v>
      </c>
      <c r="D7" s="188">
        <v>1725000</v>
      </c>
      <c r="E7" s="189">
        <f>D7/D8</f>
        <v>0.14712153518123666</v>
      </c>
      <c r="F7" s="132"/>
      <c r="G7" s="4"/>
      <c r="H7" s="190"/>
      <c r="I7" s="191"/>
      <c r="J7" s="191"/>
      <c r="K7" s="192" t="s">
        <v>27</v>
      </c>
      <c r="L7" s="146"/>
      <c r="M7" s="4"/>
      <c r="N7" s="162" t="s">
        <v>28</v>
      </c>
      <c r="O7" s="171">
        <f>O3-O6</f>
        <v>8275000</v>
      </c>
      <c r="P7" s="4"/>
      <c r="Q7" s="4"/>
      <c r="R7" s="4"/>
      <c r="S7" s="4"/>
      <c r="V7" s="3">
        <f>V6+1</f>
        <v>5</v>
      </c>
      <c r="W7" s="9" t="s">
        <v>29</v>
      </c>
      <c r="X7" s="9"/>
      <c r="Y7" s="9"/>
      <c r="Z7" s="9"/>
      <c r="AA7" s="9"/>
      <c r="AB7" s="9"/>
      <c r="AC7" s="9"/>
      <c r="AD7" s="9"/>
      <c r="AE7" s="9"/>
      <c r="AK7" s="17"/>
      <c r="AL7" s="22" t="s">
        <v>30</v>
      </c>
      <c r="AM7" s="27">
        <v>0.15</v>
      </c>
      <c r="AN7" s="20"/>
    </row>
    <row r="8" spans="1:51" x14ac:dyDescent="0.2">
      <c r="A8" s="4"/>
      <c r="B8" s="131"/>
      <c r="C8" s="164" t="s">
        <v>31</v>
      </c>
      <c r="D8" s="171">
        <f>SUM(D5:D7)</f>
        <v>11725000</v>
      </c>
      <c r="E8" s="178">
        <f>SUM(E5:E7)</f>
        <v>1</v>
      </c>
      <c r="F8" s="132"/>
      <c r="G8" s="4"/>
      <c r="H8" s="193"/>
      <c r="I8" s="4"/>
      <c r="J8" s="4"/>
      <c r="K8" s="192" t="s">
        <v>32</v>
      </c>
      <c r="L8" s="194"/>
      <c r="M8" s="4"/>
      <c r="N8" s="162"/>
      <c r="O8" s="195">
        <v>0.01</v>
      </c>
      <c r="P8" s="4" t="s">
        <v>33</v>
      </c>
      <c r="Q8" s="4"/>
      <c r="R8" s="4"/>
      <c r="S8" s="4"/>
      <c r="V8" s="3">
        <f t="shared" ref="V8:V14" si="0">V7+1</f>
        <v>6</v>
      </c>
      <c r="W8" s="9" t="s">
        <v>34</v>
      </c>
      <c r="X8" s="9"/>
      <c r="Y8" s="9"/>
      <c r="Z8" s="9"/>
      <c r="AA8" s="9"/>
      <c r="AB8" s="9"/>
      <c r="AC8" s="9"/>
      <c r="AD8" s="9"/>
      <c r="AE8" s="9"/>
      <c r="AK8" s="17"/>
      <c r="AL8" s="22" t="s">
        <v>35</v>
      </c>
      <c r="AM8" s="27">
        <v>9.8900000000000002E-2</v>
      </c>
      <c r="AN8" s="20"/>
    </row>
    <row r="9" spans="1:51" x14ac:dyDescent="0.2">
      <c r="A9" s="4"/>
      <c r="B9" s="131"/>
      <c r="C9" s="164" t="s">
        <v>36</v>
      </c>
      <c r="D9" s="171">
        <f>D3-D8</f>
        <v>8275000</v>
      </c>
      <c r="E9" s="4"/>
      <c r="F9" s="132"/>
      <c r="G9" s="4"/>
      <c r="H9" s="193"/>
      <c r="I9" s="4"/>
      <c r="J9" s="4"/>
      <c r="K9" s="192" t="s">
        <v>37</v>
      </c>
      <c r="L9" s="146"/>
      <c r="M9" s="4"/>
      <c r="N9" s="162" t="s">
        <v>38</v>
      </c>
      <c r="O9" s="196">
        <v>0.05</v>
      </c>
      <c r="P9" s="4"/>
      <c r="Q9" s="4"/>
      <c r="R9" s="4"/>
      <c r="S9" s="4"/>
      <c r="V9" s="3">
        <f t="shared" si="0"/>
        <v>7</v>
      </c>
      <c r="W9" s="9" t="s">
        <v>39</v>
      </c>
      <c r="AK9" s="17"/>
      <c r="AL9" s="22" t="s">
        <v>40</v>
      </c>
      <c r="AM9" s="27">
        <v>5.11E-2</v>
      </c>
      <c r="AN9" s="20" t="s">
        <v>41</v>
      </c>
    </row>
    <row r="10" spans="1:51" x14ac:dyDescent="0.2">
      <c r="A10" s="4"/>
      <c r="B10" s="131"/>
      <c r="C10" s="164" t="s">
        <v>33</v>
      </c>
      <c r="D10" s="197">
        <v>1E-3</v>
      </c>
      <c r="E10" s="198"/>
      <c r="F10" s="132"/>
      <c r="G10" s="4"/>
      <c r="H10" s="131"/>
      <c r="I10" s="4"/>
      <c r="J10" s="4"/>
      <c r="K10" s="192" t="s">
        <v>42</v>
      </c>
      <c r="L10" s="146"/>
      <c r="M10" s="4"/>
      <c r="N10" s="162" t="s">
        <v>43</v>
      </c>
      <c r="O10" s="196">
        <v>0.05</v>
      </c>
      <c r="P10" s="4" t="s">
        <v>44</v>
      </c>
      <c r="Q10" s="4"/>
      <c r="R10" s="4"/>
      <c r="S10" s="4"/>
      <c r="V10" s="3">
        <f t="shared" si="0"/>
        <v>8</v>
      </c>
      <c r="W10" s="3" t="s">
        <v>45</v>
      </c>
      <c r="AK10" s="17"/>
      <c r="AL10" s="22" t="s">
        <v>46</v>
      </c>
      <c r="AM10" s="30" t="s">
        <v>47</v>
      </c>
      <c r="AN10" s="20"/>
    </row>
    <row r="11" spans="1:51" ht="15" thickBot="1" x14ac:dyDescent="0.25">
      <c r="A11" s="4"/>
      <c r="B11" s="131"/>
      <c r="C11" s="164" t="s">
        <v>48</v>
      </c>
      <c r="D11" s="199">
        <v>0.05</v>
      </c>
      <c r="E11" s="4" t="s">
        <v>49</v>
      </c>
      <c r="F11" s="132"/>
      <c r="G11" s="4"/>
      <c r="H11" s="200"/>
      <c r="I11" s="201"/>
      <c r="J11" s="201"/>
      <c r="K11" s="202" t="s">
        <v>50</v>
      </c>
      <c r="L11" s="146"/>
      <c r="M11" s="4"/>
      <c r="N11" s="162" t="s">
        <v>51</v>
      </c>
      <c r="O11" s="196">
        <v>0.08</v>
      </c>
      <c r="P11" s="4" t="s">
        <v>52</v>
      </c>
      <c r="Q11" s="4"/>
      <c r="R11" s="4"/>
      <c r="S11" s="4"/>
      <c r="V11" s="3">
        <f t="shared" si="0"/>
        <v>9</v>
      </c>
      <c r="W11" s="3" t="s">
        <v>53</v>
      </c>
    </row>
    <row r="12" spans="1:51" x14ac:dyDescent="0.2">
      <c r="A12" s="4"/>
      <c r="B12" s="131"/>
      <c r="C12" s="164" t="s">
        <v>54</v>
      </c>
      <c r="D12" s="178">
        <v>0.05</v>
      </c>
      <c r="E12" s="198"/>
      <c r="F12" s="132"/>
      <c r="G12" s="4"/>
      <c r="H12" s="4"/>
      <c r="I12" s="4"/>
      <c r="J12" s="4"/>
      <c r="K12" s="4"/>
      <c r="L12" s="146"/>
      <c r="M12" s="4"/>
      <c r="N12" s="162"/>
      <c r="O12" s="4"/>
      <c r="P12" s="4"/>
      <c r="Q12" s="4"/>
      <c r="R12" s="4"/>
      <c r="S12" s="4"/>
      <c r="V12" s="3">
        <f t="shared" si="0"/>
        <v>10</v>
      </c>
      <c r="W12" s="3" t="s">
        <v>55</v>
      </c>
      <c r="Z12" s="33"/>
      <c r="AC12" s="8"/>
      <c r="AX12" s="8"/>
      <c r="AY12" s="34"/>
    </row>
    <row r="13" spans="1:51" x14ac:dyDescent="0.2">
      <c r="A13" s="4"/>
      <c r="B13" s="203"/>
      <c r="C13" s="204" t="s">
        <v>56</v>
      </c>
      <c r="D13" s="205">
        <v>0.08</v>
      </c>
      <c r="E13" s="206"/>
      <c r="F13" s="207"/>
      <c r="G13" s="4"/>
      <c r="H13" s="4"/>
      <c r="I13" s="4"/>
      <c r="J13" s="4"/>
      <c r="K13" s="4"/>
      <c r="L13" s="146"/>
      <c r="M13" s="4"/>
      <c r="N13" s="162" t="s">
        <v>57</v>
      </c>
      <c r="O13" s="208">
        <v>10000000</v>
      </c>
      <c r="P13" s="4" t="s">
        <v>58</v>
      </c>
      <c r="Q13" s="4"/>
      <c r="R13" s="4"/>
      <c r="S13" s="4"/>
      <c r="V13" s="3">
        <f t="shared" si="0"/>
        <v>11</v>
      </c>
      <c r="W13" s="33" t="s">
        <v>59</v>
      </c>
      <c r="AC13" s="37"/>
      <c r="AW13" s="7"/>
      <c r="AX13" s="7"/>
      <c r="AY13" s="7"/>
    </row>
    <row r="14" spans="1:51" x14ac:dyDescent="0.2">
      <c r="A14" s="4"/>
      <c r="B14" s="131"/>
      <c r="C14" s="164" t="s">
        <v>60</v>
      </c>
      <c r="D14" s="209">
        <f>'[1]Cash Flow'!E3</f>
        <v>4780967.5</v>
      </c>
      <c r="E14" s="4"/>
      <c r="F14" s="132"/>
      <c r="G14" s="4"/>
      <c r="H14" s="4"/>
      <c r="I14" s="4"/>
      <c r="J14" s="4"/>
      <c r="K14" s="210"/>
      <c r="L14" s="211"/>
      <c r="M14" s="4"/>
      <c r="N14" s="162" t="s">
        <v>61</v>
      </c>
      <c r="O14" s="212">
        <f>O10*O13*3</f>
        <v>1500000</v>
      </c>
      <c r="P14" s="4" t="s">
        <v>62</v>
      </c>
      <c r="Q14" s="4"/>
      <c r="R14" s="4"/>
      <c r="S14" s="4"/>
      <c r="V14" s="3">
        <f t="shared" si="0"/>
        <v>12</v>
      </c>
      <c r="W14" s="3" t="s">
        <v>63</v>
      </c>
      <c r="AC14" s="34"/>
      <c r="AW14" s="7"/>
      <c r="AX14" s="7"/>
      <c r="AY14" s="7"/>
    </row>
    <row r="15" spans="1:51" ht="16" customHeight="1" thickBot="1" x14ac:dyDescent="0.25">
      <c r="A15" s="4"/>
      <c r="B15" s="131"/>
      <c r="C15" s="213" t="s">
        <v>64</v>
      </c>
      <c r="D15" s="214">
        <f>[1]MASTER!D6</f>
        <v>478096.75</v>
      </c>
      <c r="E15" s="4"/>
      <c r="F15" s="132"/>
      <c r="G15" s="4"/>
      <c r="H15" s="4"/>
      <c r="I15" s="4"/>
      <c r="J15" s="4"/>
      <c r="K15" s="4"/>
      <c r="L15" s="146"/>
      <c r="M15" s="4"/>
      <c r="N15" s="4"/>
      <c r="O15" s="208">
        <f>SUM(O13:O14)</f>
        <v>11500000</v>
      </c>
      <c r="P15" s="4" t="s">
        <v>65</v>
      </c>
      <c r="Q15" s="4"/>
      <c r="R15" s="4"/>
      <c r="S15" s="4"/>
      <c r="AW15" s="7"/>
      <c r="AX15" s="7"/>
      <c r="AY15" s="40"/>
    </row>
    <row r="16" spans="1:51" x14ac:dyDescent="0.2">
      <c r="A16" s="4"/>
      <c r="B16" s="131"/>
      <c r="C16" s="4"/>
      <c r="D16" s="215">
        <f>SUM(D14:D15)</f>
        <v>5259064.25</v>
      </c>
      <c r="E16" s="4"/>
      <c r="F16" s="132"/>
      <c r="G16" s="4"/>
      <c r="H16" s="4"/>
      <c r="I16" s="4"/>
      <c r="J16" s="4"/>
      <c r="K16" s="4"/>
      <c r="L16" s="146"/>
      <c r="M16" s="4"/>
      <c r="N16" s="162" t="s">
        <v>66</v>
      </c>
      <c r="O16" s="216">
        <v>40000000</v>
      </c>
      <c r="P16" s="4" t="s">
        <v>67</v>
      </c>
      <c r="Q16" s="4"/>
      <c r="R16" s="4"/>
      <c r="S16" s="4"/>
      <c r="W16" s="42" t="s">
        <v>68</v>
      </c>
      <c r="X16" s="43" t="s">
        <v>69</v>
      </c>
      <c r="Y16" s="44"/>
      <c r="Z16" s="44"/>
      <c r="AA16" s="44"/>
      <c r="AB16" s="45"/>
      <c r="AC16" s="43" t="s">
        <v>70</v>
      </c>
      <c r="AD16" s="44"/>
      <c r="AE16" s="44"/>
      <c r="AF16" s="44"/>
      <c r="AG16" s="44"/>
      <c r="AH16" s="45"/>
      <c r="AW16" s="7"/>
      <c r="AX16" s="7"/>
      <c r="AY16" s="40"/>
    </row>
    <row r="17" spans="1:51" x14ac:dyDescent="0.2">
      <c r="A17" s="4"/>
      <c r="B17" s="131"/>
      <c r="C17" s="164" t="s">
        <v>71</v>
      </c>
      <c r="D17" s="217">
        <f>'[1]Cash Flow'!G3</f>
        <v>9130211.25</v>
      </c>
      <c r="E17" s="4"/>
      <c r="F17" s="132"/>
      <c r="G17" s="4"/>
      <c r="H17" s="4"/>
      <c r="I17" s="4"/>
      <c r="J17" s="4"/>
      <c r="K17" s="4"/>
      <c r="L17" s="146"/>
      <c r="M17" s="4"/>
      <c r="N17" s="162" t="s">
        <v>72</v>
      </c>
      <c r="O17" s="208">
        <f>SUM(O15:O16)</f>
        <v>51500000</v>
      </c>
      <c r="P17" s="4" t="s">
        <v>73</v>
      </c>
      <c r="Q17" s="4"/>
      <c r="R17" s="4"/>
      <c r="S17" s="4"/>
      <c r="W17" s="42"/>
      <c r="X17" s="46"/>
      <c r="AB17" s="47"/>
      <c r="AC17" s="46"/>
      <c r="AH17" s="47"/>
      <c r="AW17" s="7"/>
      <c r="AX17" s="7"/>
      <c r="AY17" s="40"/>
    </row>
    <row r="18" spans="1:51" x14ac:dyDescent="0.2">
      <c r="A18" s="4"/>
      <c r="B18" s="131"/>
      <c r="C18" s="164" t="s">
        <v>74</v>
      </c>
      <c r="D18" s="218">
        <v>0.2</v>
      </c>
      <c r="E18" s="4"/>
      <c r="F18" s="132"/>
      <c r="G18" s="4"/>
      <c r="H18" s="4"/>
      <c r="I18" s="4"/>
      <c r="J18" s="4"/>
      <c r="K18" s="4"/>
      <c r="L18" s="146"/>
      <c r="M18" s="4"/>
      <c r="N18" s="162" t="s">
        <v>75</v>
      </c>
      <c r="O18" s="196">
        <v>0.2</v>
      </c>
      <c r="P18" s="4"/>
      <c r="Q18" s="4"/>
      <c r="R18" s="4"/>
      <c r="S18" s="4"/>
      <c r="W18" s="42"/>
      <c r="X18" s="46"/>
      <c r="AB18" s="47"/>
      <c r="AC18" s="46"/>
      <c r="AH18" s="47"/>
      <c r="AW18" s="7"/>
      <c r="AX18" s="7"/>
      <c r="AY18" s="40"/>
    </row>
    <row r="19" spans="1:51" x14ac:dyDescent="0.2">
      <c r="A19" s="4"/>
      <c r="B19" s="131"/>
      <c r="C19" s="213" t="s">
        <v>76</v>
      </c>
      <c r="D19" s="219">
        <f>[1]MASTER!D9</f>
        <v>40500000</v>
      </c>
      <c r="E19" s="4"/>
      <c r="F19" s="132"/>
      <c r="G19" s="4"/>
      <c r="H19" s="4"/>
      <c r="I19" s="4"/>
      <c r="J19" s="4"/>
      <c r="K19" s="4"/>
      <c r="L19" s="146"/>
      <c r="M19" s="4"/>
      <c r="N19" s="162"/>
      <c r="O19" s="4"/>
      <c r="P19" s="4"/>
      <c r="Q19" s="4"/>
      <c r="R19" s="4"/>
      <c r="S19" s="4"/>
      <c r="W19" s="42"/>
      <c r="X19" s="46"/>
      <c r="AB19" s="47"/>
      <c r="AC19" s="46"/>
      <c r="AH19" s="47"/>
      <c r="AW19" s="7"/>
      <c r="AX19" s="7"/>
      <c r="AY19" s="40"/>
    </row>
    <row r="20" spans="1:51" ht="15" thickBot="1" x14ac:dyDescent="0.25">
      <c r="A20" s="4"/>
      <c r="B20" s="200"/>
      <c r="C20" s="220" t="s">
        <v>77</v>
      </c>
      <c r="D20" s="221">
        <f>'[1]Cash Flow'!G3</f>
        <v>9130211.25</v>
      </c>
      <c r="E20" s="222"/>
      <c r="F20" s="223"/>
      <c r="G20" s="4"/>
      <c r="H20" s="4"/>
      <c r="I20" s="4"/>
      <c r="J20" s="4"/>
      <c r="K20" s="4"/>
      <c r="L20" s="146"/>
      <c r="M20" s="4"/>
      <c r="N20" s="4"/>
      <c r="O20" s="4"/>
      <c r="P20" s="4"/>
      <c r="Q20" s="4"/>
      <c r="R20" s="4"/>
      <c r="S20" s="4"/>
      <c r="W20" s="42"/>
      <c r="X20" s="46"/>
      <c r="AB20" s="47"/>
      <c r="AC20" s="46"/>
      <c r="AH20" s="47"/>
      <c r="AW20" s="7"/>
      <c r="AX20" s="7"/>
      <c r="AY20" s="40"/>
    </row>
    <row r="21" spans="1:51" ht="15" thickBot="1" x14ac:dyDescent="0.25">
      <c r="A21" s="32"/>
      <c r="B21" s="32"/>
      <c r="C21" s="32"/>
      <c r="D21" s="32"/>
      <c r="E21" s="32"/>
      <c r="F21" s="32"/>
      <c r="G21" s="32"/>
      <c r="H21" s="32"/>
      <c r="I21" s="32"/>
      <c r="J21" s="32"/>
      <c r="K21" s="32"/>
      <c r="L21" s="49"/>
      <c r="M21" s="50"/>
      <c r="N21" s="51"/>
      <c r="O21" s="51"/>
      <c r="P21" s="51"/>
      <c r="W21" s="42"/>
      <c r="X21" s="46"/>
      <c r="AB21" s="47"/>
      <c r="AC21" s="46"/>
      <c r="AH21" s="47"/>
      <c r="AW21" s="7"/>
      <c r="AX21" s="7"/>
      <c r="AY21" s="40"/>
    </row>
    <row r="22" spans="1:51" ht="15" thickBot="1" x14ac:dyDescent="0.25">
      <c r="A22" s="3"/>
      <c r="B22" s="52"/>
      <c r="C22" s="1"/>
      <c r="D22" s="1"/>
      <c r="E22" s="1"/>
      <c r="F22" s="1"/>
      <c r="G22" s="1"/>
      <c r="H22" s="1"/>
      <c r="I22" s="1"/>
      <c r="J22" s="1"/>
      <c r="K22" s="1"/>
      <c r="L22" s="1"/>
      <c r="M22" s="1"/>
      <c r="N22" s="1"/>
      <c r="O22" s="1"/>
      <c r="P22" s="2"/>
      <c r="W22" s="42"/>
      <c r="X22" s="46"/>
      <c r="AB22" s="47"/>
      <c r="AC22" s="46"/>
      <c r="AH22" s="47"/>
      <c r="AW22" s="7"/>
      <c r="AX22" s="7"/>
      <c r="AY22" s="40"/>
    </row>
    <row r="23" spans="1:51" x14ac:dyDescent="0.2">
      <c r="B23" s="224" t="s">
        <v>78</v>
      </c>
      <c r="C23" s="159"/>
      <c r="D23" s="225"/>
      <c r="E23" s="159"/>
      <c r="F23" s="159"/>
      <c r="G23" s="159"/>
      <c r="H23" s="159"/>
      <c r="I23" s="161"/>
      <c r="J23" s="4"/>
      <c r="K23" s="4"/>
      <c r="L23" s="1"/>
      <c r="M23" s="1"/>
      <c r="N23" s="1"/>
      <c r="O23" s="1"/>
      <c r="P23" s="2"/>
      <c r="W23" s="42"/>
      <c r="AW23" s="7"/>
      <c r="AX23" s="7"/>
      <c r="AY23" s="40"/>
    </row>
    <row r="24" spans="1:51" x14ac:dyDescent="0.2">
      <c r="B24" s="131"/>
      <c r="C24" s="164" t="s">
        <v>79</v>
      </c>
      <c r="D24" s="226">
        <v>2.2100000000000002E-2</v>
      </c>
      <c r="E24" s="4"/>
      <c r="F24" s="4"/>
      <c r="G24" s="4"/>
      <c r="H24" s="4"/>
      <c r="I24" s="132"/>
      <c r="J24" s="4"/>
      <c r="K24" s="4"/>
      <c r="L24" s="1"/>
      <c r="M24" s="1"/>
      <c r="N24" s="1"/>
      <c r="O24" s="1"/>
      <c r="P24" s="2"/>
      <c r="W24" s="42"/>
      <c r="X24" s="46"/>
      <c r="AB24" s="47"/>
      <c r="AC24" s="46"/>
      <c r="AH24" s="47"/>
      <c r="AW24" s="7"/>
      <c r="AX24" s="7"/>
      <c r="AY24" s="40"/>
    </row>
    <row r="25" spans="1:51" x14ac:dyDescent="0.2">
      <c r="B25" s="131"/>
      <c r="C25" s="164" t="s">
        <v>80</v>
      </c>
      <c r="D25" s="226">
        <v>6.0999999999999999E-2</v>
      </c>
      <c r="E25" s="4"/>
      <c r="F25" s="4"/>
      <c r="G25" s="4"/>
      <c r="H25" s="4"/>
      <c r="I25" s="132"/>
      <c r="J25" s="198"/>
      <c r="K25" s="4"/>
      <c r="L25" s="1"/>
      <c r="M25" s="1"/>
      <c r="N25" s="1"/>
      <c r="O25" s="1"/>
      <c r="P25" s="2"/>
      <c r="W25" s="42"/>
      <c r="X25" s="46"/>
      <c r="AB25" s="47"/>
      <c r="AC25" s="46"/>
      <c r="AH25" s="47"/>
      <c r="AW25" s="7"/>
      <c r="AX25" s="7"/>
      <c r="AY25" s="40"/>
    </row>
    <row r="26" spans="1:51" x14ac:dyDescent="0.2">
      <c r="B26" s="131"/>
      <c r="C26" s="164" t="s">
        <v>81</v>
      </c>
      <c r="D26" s="226">
        <v>2.2599999999999999E-2</v>
      </c>
      <c r="E26" s="4"/>
      <c r="F26" s="4"/>
      <c r="G26" s="4"/>
      <c r="H26" s="4"/>
      <c r="I26" s="132"/>
      <c r="J26" s="198"/>
      <c r="K26" s="4"/>
      <c r="L26" s="1"/>
      <c r="M26" s="1"/>
      <c r="N26" s="1"/>
      <c r="O26" s="1"/>
      <c r="P26" s="2"/>
      <c r="W26" s="42"/>
      <c r="X26" s="46"/>
      <c r="AB26" s="47"/>
      <c r="AC26" s="46"/>
      <c r="AH26" s="47"/>
      <c r="AW26" s="7"/>
      <c r="AX26" s="7"/>
      <c r="AY26" s="40"/>
    </row>
    <row r="27" spans="1:51" x14ac:dyDescent="0.2">
      <c r="B27" s="131"/>
      <c r="C27" s="164" t="s">
        <v>82</v>
      </c>
      <c r="D27" s="226">
        <v>3.9620000000000002E-2</v>
      </c>
      <c r="E27" s="4"/>
      <c r="F27" s="4"/>
      <c r="G27" s="4"/>
      <c r="H27" s="4"/>
      <c r="I27" s="132"/>
      <c r="J27" s="198"/>
      <c r="K27" s="4"/>
      <c r="L27" s="1"/>
      <c r="M27" s="1"/>
      <c r="N27" s="1"/>
      <c r="O27" s="1"/>
      <c r="P27" s="2"/>
      <c r="W27" s="42"/>
      <c r="X27" s="46"/>
      <c r="AB27" s="47"/>
      <c r="AC27" s="46"/>
      <c r="AH27" s="47"/>
      <c r="AW27" s="7"/>
      <c r="AX27" s="7"/>
      <c r="AY27" s="40"/>
    </row>
    <row r="28" spans="1:51" x14ac:dyDescent="0.2">
      <c r="B28" s="131"/>
      <c r="C28" s="164" t="s">
        <v>83</v>
      </c>
      <c r="D28" s="226">
        <v>0.05</v>
      </c>
      <c r="E28" s="4"/>
      <c r="F28" s="4"/>
      <c r="G28" s="4"/>
      <c r="H28" s="4"/>
      <c r="I28" s="132" t="s">
        <v>84</v>
      </c>
      <c r="J28" s="198"/>
      <c r="K28" s="4"/>
      <c r="L28" s="1"/>
      <c r="M28" s="1"/>
      <c r="N28" s="1"/>
      <c r="O28" s="1"/>
      <c r="P28" s="2"/>
      <c r="W28" s="42"/>
      <c r="X28" s="46"/>
      <c r="AB28" s="47"/>
      <c r="AC28" s="46"/>
      <c r="AH28" s="47"/>
      <c r="AW28" s="7"/>
      <c r="AX28" s="7"/>
      <c r="AY28" s="40"/>
    </row>
    <row r="29" spans="1:51" x14ac:dyDescent="0.2">
      <c r="B29" s="131"/>
      <c r="C29" s="210" t="s">
        <v>85</v>
      </c>
      <c r="D29" s="227">
        <f>SUM(D24:D28)</f>
        <v>0.19531999999999999</v>
      </c>
      <c r="E29" s="4"/>
      <c r="F29" s="4"/>
      <c r="G29" s="4"/>
      <c r="H29" s="4"/>
      <c r="I29" s="132"/>
      <c r="J29" s="198"/>
      <c r="K29" s="4"/>
      <c r="L29" s="1"/>
      <c r="M29" s="1"/>
      <c r="N29" s="1"/>
      <c r="O29" s="1"/>
      <c r="P29" s="2"/>
      <c r="W29" s="42"/>
      <c r="X29" s="46"/>
      <c r="AB29" s="47"/>
      <c r="AC29" s="46"/>
      <c r="AH29" s="47"/>
      <c r="AW29" s="7"/>
      <c r="AX29" s="7"/>
      <c r="AY29" s="40"/>
    </row>
    <row r="30" spans="1:51" x14ac:dyDescent="0.2">
      <c r="B30" s="228" t="s">
        <v>86</v>
      </c>
      <c r="C30" s="4"/>
      <c r="D30" s="4"/>
      <c r="E30" s="210"/>
      <c r="F30" s="227"/>
      <c r="G30" s="229"/>
      <c r="H30" s="4"/>
      <c r="I30" s="132"/>
      <c r="J30" s="198"/>
      <c r="K30" s="4"/>
      <c r="L30" s="1"/>
      <c r="M30" s="1"/>
      <c r="N30" s="1"/>
      <c r="O30" s="1"/>
      <c r="P30" s="2"/>
      <c r="W30" s="42"/>
      <c r="X30" s="46"/>
      <c r="AB30" s="47"/>
      <c r="AC30" s="46"/>
      <c r="AH30" s="47"/>
      <c r="AW30" s="7"/>
      <c r="AX30" s="7"/>
      <c r="AY30" s="40"/>
    </row>
    <row r="31" spans="1:51" x14ac:dyDescent="0.2">
      <c r="B31" s="230" t="s">
        <v>87</v>
      </c>
      <c r="C31" s="4"/>
      <c r="D31" s="4"/>
      <c r="E31" s="210"/>
      <c r="F31" s="227"/>
      <c r="G31" s="229"/>
      <c r="H31" s="4"/>
      <c r="I31" s="132"/>
      <c r="J31" s="198"/>
      <c r="K31" s="4"/>
      <c r="L31" s="1"/>
      <c r="M31" s="1"/>
      <c r="N31" s="1"/>
      <c r="O31" s="1"/>
      <c r="P31" s="2"/>
      <c r="W31" s="42"/>
      <c r="X31" s="46"/>
      <c r="AB31" s="47"/>
      <c r="AC31" s="46"/>
      <c r="AH31" s="47"/>
      <c r="AW31" s="7"/>
      <c r="AX31" s="7"/>
      <c r="AY31" s="40"/>
    </row>
    <row r="32" spans="1:51" x14ac:dyDescent="0.2">
      <c r="B32" s="175" t="s">
        <v>88</v>
      </c>
      <c r="C32" s="4"/>
      <c r="D32" s="4"/>
      <c r="E32" s="210"/>
      <c r="F32" s="227"/>
      <c r="G32" s="229"/>
      <c r="H32" s="4"/>
      <c r="I32" s="132"/>
      <c r="J32" s="198"/>
      <c r="K32" s="4"/>
      <c r="L32" s="1"/>
      <c r="M32" s="1"/>
      <c r="N32" s="1"/>
      <c r="O32" s="1"/>
      <c r="P32" s="2"/>
      <c r="W32" s="42"/>
      <c r="X32" s="46"/>
      <c r="AB32" s="47"/>
      <c r="AC32" s="46"/>
      <c r="AH32" s="47"/>
      <c r="AW32" s="7"/>
      <c r="AX32" s="7"/>
      <c r="AY32" s="40"/>
    </row>
    <row r="33" spans="2:51" s="1" customFormat="1" x14ac:dyDescent="0.2">
      <c r="B33" s="175" t="s">
        <v>89</v>
      </c>
      <c r="C33" s="4"/>
      <c r="D33" s="4"/>
      <c r="E33" s="210"/>
      <c r="F33" s="227"/>
      <c r="G33" s="229"/>
      <c r="H33" s="4"/>
      <c r="I33" s="132"/>
      <c r="J33" s="198"/>
      <c r="K33" s="4"/>
      <c r="P33" s="2"/>
      <c r="Q33" s="3"/>
      <c r="R33" s="3"/>
      <c r="S33" s="3"/>
      <c r="T33" s="4"/>
      <c r="U33" s="4"/>
      <c r="V33" s="3"/>
      <c r="W33" s="42"/>
      <c r="X33" s="15" t="s">
        <v>90</v>
      </c>
      <c r="Z33" s="1">
        <f>(0.1/(1-0.15))</f>
        <v>0.11764705882352942</v>
      </c>
      <c r="AB33" s="11"/>
      <c r="AC33" s="15" t="s">
        <v>91</v>
      </c>
      <c r="AH33" s="11"/>
      <c r="AW33" s="56"/>
      <c r="AX33" s="56"/>
      <c r="AY33" s="57"/>
    </row>
    <row r="34" spans="2:51" s="1" customFormat="1" x14ac:dyDescent="0.2">
      <c r="B34" s="175" t="s">
        <v>92</v>
      </c>
      <c r="C34" s="4"/>
      <c r="D34" s="4"/>
      <c r="E34" s="210"/>
      <c r="F34" s="227"/>
      <c r="G34" s="229"/>
      <c r="H34" s="4"/>
      <c r="I34" s="132"/>
      <c r="J34" s="198"/>
      <c r="K34" s="4"/>
      <c r="P34" s="2"/>
      <c r="Q34" s="3"/>
      <c r="R34" s="3"/>
      <c r="S34" s="3"/>
      <c r="T34" s="4"/>
      <c r="U34" s="4"/>
      <c r="V34" s="3"/>
      <c r="W34" s="42"/>
      <c r="X34" s="15" t="s">
        <v>93</v>
      </c>
      <c r="Z34" s="1">
        <f>1-Z33</f>
        <v>0.88235294117647056</v>
      </c>
      <c r="AB34" s="11"/>
      <c r="AC34" s="15" t="s">
        <v>94</v>
      </c>
      <c r="AH34" s="11"/>
      <c r="AW34" s="56"/>
      <c r="AX34" s="56"/>
      <c r="AY34" s="57"/>
    </row>
    <row r="35" spans="2:51" x14ac:dyDescent="0.2">
      <c r="B35" s="175" t="s">
        <v>95</v>
      </c>
      <c r="C35" s="4"/>
      <c r="D35" s="4"/>
      <c r="E35" s="210"/>
      <c r="F35" s="227"/>
      <c r="G35" s="229"/>
      <c r="H35" s="4"/>
      <c r="I35" s="132"/>
      <c r="J35" s="198"/>
      <c r="K35" s="4"/>
      <c r="L35" s="1"/>
      <c r="M35" s="1"/>
      <c r="N35" s="1"/>
      <c r="O35" s="1"/>
      <c r="P35" s="2"/>
      <c r="W35" s="42"/>
      <c r="X35" s="46" t="s">
        <v>96</v>
      </c>
      <c r="AB35" s="47"/>
      <c r="AC35" s="46"/>
      <c r="AH35" s="47"/>
      <c r="AK35" s="58" t="s">
        <v>97</v>
      </c>
      <c r="AW35" s="7"/>
      <c r="AX35" s="7"/>
      <c r="AY35" s="40"/>
    </row>
    <row r="36" spans="2:51" ht="15" thickBot="1" x14ac:dyDescent="0.25">
      <c r="B36" s="231" t="s">
        <v>98</v>
      </c>
      <c r="C36" s="201"/>
      <c r="D36" s="201"/>
      <c r="E36" s="232"/>
      <c r="F36" s="233"/>
      <c r="G36" s="234"/>
      <c r="H36" s="201"/>
      <c r="I36" s="223"/>
      <c r="J36" s="198"/>
      <c r="K36" s="4"/>
      <c r="L36" s="1"/>
      <c r="M36" s="1"/>
      <c r="N36" s="1"/>
      <c r="O36" s="1"/>
      <c r="P36" s="2"/>
      <c r="W36" s="42"/>
      <c r="X36" s="46" t="s">
        <v>99</v>
      </c>
      <c r="AB36" s="47"/>
      <c r="AC36" s="46" t="s">
        <v>100</v>
      </c>
      <c r="AH36" s="47"/>
      <c r="AK36" s="58" t="s">
        <v>101</v>
      </c>
      <c r="AW36" s="7"/>
      <c r="AX36" s="7"/>
      <c r="AY36" s="40"/>
    </row>
    <row r="37" spans="2:51" ht="15" thickBot="1" x14ac:dyDescent="0.25">
      <c r="B37" s="55"/>
      <c r="C37" s="1"/>
      <c r="D37" s="1"/>
      <c r="E37" s="39"/>
      <c r="F37" s="54"/>
      <c r="G37" s="55"/>
      <c r="H37" s="1"/>
      <c r="I37" s="1"/>
      <c r="J37" s="29"/>
      <c r="K37" s="1"/>
      <c r="L37" s="1"/>
      <c r="M37" s="1"/>
      <c r="N37" s="1"/>
      <c r="O37" s="1"/>
      <c r="P37" s="2"/>
      <c r="W37" s="42"/>
      <c r="X37" s="46" t="s">
        <v>102</v>
      </c>
      <c r="AB37" s="47"/>
      <c r="AC37" s="46" t="s">
        <v>103</v>
      </c>
      <c r="AH37" s="47"/>
      <c r="AK37" s="58" t="s">
        <v>104</v>
      </c>
      <c r="AW37" s="7"/>
      <c r="AX37" s="7"/>
      <c r="AY37" s="40"/>
    </row>
    <row r="38" spans="2:51" x14ac:dyDescent="0.2">
      <c r="B38" s="60" t="s">
        <v>105</v>
      </c>
      <c r="C38" s="5"/>
      <c r="D38" s="5"/>
      <c r="E38" s="61"/>
      <c r="F38" s="62"/>
      <c r="G38" s="63"/>
      <c r="H38" s="5"/>
      <c r="I38" s="5"/>
      <c r="J38" s="12"/>
      <c r="K38" s="5"/>
      <c r="L38" s="5"/>
      <c r="M38" s="5"/>
      <c r="N38" s="5"/>
      <c r="O38" s="6"/>
      <c r="P38" s="2"/>
      <c r="W38" s="42"/>
      <c r="X38" s="46" t="s">
        <v>106</v>
      </c>
      <c r="AB38" s="47"/>
      <c r="AC38" s="46" t="s">
        <v>107</v>
      </c>
      <c r="AH38" s="47"/>
      <c r="AK38" s="58" t="s">
        <v>108</v>
      </c>
      <c r="AW38" s="7"/>
      <c r="AX38" s="7"/>
      <c r="AY38" s="40"/>
    </row>
    <row r="39" spans="2:51" x14ac:dyDescent="0.2">
      <c r="B39" s="16"/>
      <c r="C39" s="1"/>
      <c r="D39" s="1"/>
      <c r="E39" s="39"/>
      <c r="F39" s="54"/>
      <c r="G39" s="55"/>
      <c r="H39" s="1"/>
      <c r="I39" s="1"/>
      <c r="J39" s="29"/>
      <c r="K39" s="1"/>
      <c r="L39" s="1"/>
      <c r="M39" s="1"/>
      <c r="N39" s="1"/>
      <c r="O39" s="11"/>
      <c r="P39" s="2"/>
      <c r="W39" s="42"/>
      <c r="X39" s="46" t="s">
        <v>109</v>
      </c>
      <c r="AB39" s="47"/>
      <c r="AC39" s="46" t="s">
        <v>110</v>
      </c>
      <c r="AH39" s="47"/>
      <c r="AK39" s="64" t="s">
        <v>111</v>
      </c>
      <c r="AW39" s="7"/>
      <c r="AX39" s="7"/>
      <c r="AY39" s="40"/>
    </row>
    <row r="40" spans="2:51" x14ac:dyDescent="0.2">
      <c r="B40" s="16"/>
      <c r="C40" s="1"/>
      <c r="D40" s="1"/>
      <c r="E40" s="154" t="s">
        <v>112</v>
      </c>
      <c r="F40" s="1"/>
      <c r="G40" s="1"/>
      <c r="H40" s="154" t="s">
        <v>113</v>
      </c>
      <c r="I40" s="1"/>
      <c r="J40" s="1"/>
      <c r="K40" s="1"/>
      <c r="L40" s="1"/>
      <c r="M40" s="1"/>
      <c r="N40" s="1"/>
      <c r="O40" s="11"/>
      <c r="P40" s="2"/>
      <c r="W40" s="42"/>
      <c r="X40" s="46" t="s">
        <v>114</v>
      </c>
      <c r="AB40" s="47"/>
      <c r="AC40" s="46" t="s">
        <v>115</v>
      </c>
      <c r="AH40" s="47"/>
      <c r="AK40" s="64" t="s">
        <v>116</v>
      </c>
      <c r="AW40" s="7"/>
      <c r="AX40" s="7"/>
      <c r="AY40" s="40"/>
    </row>
    <row r="41" spans="2:51" x14ac:dyDescent="0.2">
      <c r="B41" s="16"/>
      <c r="C41" s="1"/>
      <c r="D41" s="1"/>
      <c r="E41" s="155"/>
      <c r="F41" s="52"/>
      <c r="G41" s="52"/>
      <c r="H41" s="155"/>
      <c r="I41" s="52"/>
      <c r="J41" s="52"/>
      <c r="K41" s="52"/>
      <c r="L41" s="52"/>
      <c r="M41" s="52"/>
      <c r="N41" s="65"/>
      <c r="O41" s="11"/>
      <c r="P41" s="2"/>
      <c r="W41" s="42"/>
      <c r="X41" s="46" t="s">
        <v>117</v>
      </c>
      <c r="AB41" s="47"/>
      <c r="AC41" s="46" t="s">
        <v>118</v>
      </c>
      <c r="AH41" s="47"/>
      <c r="AK41" s="64" t="s">
        <v>119</v>
      </c>
      <c r="AW41" s="7"/>
      <c r="AX41" s="7"/>
      <c r="AY41" s="40"/>
    </row>
    <row r="42" spans="2:51" x14ac:dyDescent="0.2">
      <c r="B42" s="16"/>
      <c r="C42" s="66">
        <v>0</v>
      </c>
      <c r="D42" s="67">
        <v>1</v>
      </c>
      <c r="E42" s="66">
        <v>2</v>
      </c>
      <c r="F42" s="66">
        <v>3</v>
      </c>
      <c r="G42" s="66">
        <v>4</v>
      </c>
      <c r="H42" s="66">
        <v>5</v>
      </c>
      <c r="I42" s="66">
        <v>6</v>
      </c>
      <c r="J42" s="66">
        <v>7</v>
      </c>
      <c r="K42" s="66">
        <v>8</v>
      </c>
      <c r="L42" s="66">
        <v>9</v>
      </c>
      <c r="M42" s="68">
        <v>10</v>
      </c>
      <c r="N42" s="69" t="s">
        <v>120</v>
      </c>
      <c r="O42" s="11"/>
      <c r="P42" s="2"/>
      <c r="W42" s="42"/>
      <c r="X42" s="46"/>
      <c r="AB42" s="47"/>
      <c r="AC42" s="46"/>
      <c r="AH42" s="47"/>
      <c r="AK42" s="64" t="s">
        <v>121</v>
      </c>
      <c r="AW42" s="7"/>
      <c r="AX42" s="7"/>
      <c r="AY42" s="40"/>
    </row>
    <row r="43" spans="2:51" ht="17" thickBot="1" x14ac:dyDescent="0.25">
      <c r="B43" s="70" t="s">
        <v>122</v>
      </c>
      <c r="C43" s="1"/>
      <c r="D43" s="71">
        <f>+'[1]Income Stmt'!D91</f>
        <v>-2351746.375</v>
      </c>
      <c r="E43" s="71">
        <f>+'[1]Income Stmt'!E91</f>
        <v>-2607317.875</v>
      </c>
      <c r="F43" s="71">
        <f>+'[1]Income Stmt'!F91</f>
        <v>-5841057.5</v>
      </c>
      <c r="G43" s="71">
        <f>+'[1]Income Stmt'!G91</f>
        <v>-935097.15000000037</v>
      </c>
      <c r="H43" s="71">
        <f>+'[1]Income Stmt'!H91</f>
        <v>22566154.000300005</v>
      </c>
      <c r="I43" s="71">
        <f>+'[1]Income Stmt'!I91</f>
        <v>31776289.383946504</v>
      </c>
      <c r="J43" s="71">
        <f>+'[1]Income Stmt'!J91</f>
        <v>54887542.284546949</v>
      </c>
      <c r="K43" s="71">
        <f>+'[1]Income Stmt'!K91</f>
        <v>83115979.128526479</v>
      </c>
      <c r="L43" s="71">
        <f>+'[1]Income Stmt'!L91</f>
        <v>156189400.10351533</v>
      </c>
      <c r="M43" s="71">
        <f>+'[1]Income Stmt'!M91</f>
        <v>301824435.58504832</v>
      </c>
      <c r="N43" s="72">
        <f>+M43</f>
        <v>301824435.58504832</v>
      </c>
      <c r="O43" s="11" t="s">
        <v>84</v>
      </c>
      <c r="P43" s="2"/>
      <c r="W43" s="42"/>
      <c r="X43" s="46"/>
      <c r="AB43" s="47"/>
      <c r="AC43" s="46"/>
      <c r="AH43" s="47"/>
      <c r="AK43" s="64" t="s">
        <v>123</v>
      </c>
      <c r="AW43" s="7"/>
      <c r="AX43" s="7"/>
      <c r="AY43" s="40"/>
    </row>
    <row r="44" spans="2:51" ht="15" thickBot="1" x14ac:dyDescent="0.25">
      <c r="B44" s="21" t="s">
        <v>124</v>
      </c>
      <c r="C44" s="1"/>
      <c r="D44" s="1"/>
      <c r="E44" s="1"/>
      <c r="F44" s="1"/>
      <c r="G44" s="1"/>
      <c r="H44" s="73"/>
      <c r="I44" s="73">
        <f>+I43/H43-1</f>
        <v>0.40813934813721708</v>
      </c>
      <c r="J44" s="73">
        <f>+J43/I43-1</f>
        <v>0.72731125467016722</v>
      </c>
      <c r="K44" s="73">
        <f>+K43/J43-1</f>
        <v>0.51429587970323398</v>
      </c>
      <c r="L44" s="73">
        <f>+L43/K43-1</f>
        <v>0.87917415810011312</v>
      </c>
      <c r="M44" s="74">
        <f>+M43/L43-1</f>
        <v>0.93242585850904502</v>
      </c>
      <c r="N44" s="75">
        <f>+N43/(D29-D11)*(1+D11)</f>
        <v>2180812395.8457251</v>
      </c>
      <c r="O44" s="11" t="s">
        <v>125</v>
      </c>
      <c r="P44" s="2"/>
      <c r="W44" s="42"/>
      <c r="X44" s="46"/>
      <c r="AB44" s="47"/>
      <c r="AC44" s="46"/>
      <c r="AH44" s="47"/>
      <c r="AW44" s="7"/>
      <c r="AX44" s="7"/>
      <c r="AY44" s="40"/>
    </row>
    <row r="45" spans="2:51" x14ac:dyDescent="0.2">
      <c r="B45" s="16"/>
      <c r="C45" s="1"/>
      <c r="D45" s="1"/>
      <c r="E45" s="1"/>
      <c r="F45" s="1"/>
      <c r="G45" s="1"/>
      <c r="H45" s="1"/>
      <c r="I45" s="1"/>
      <c r="J45" s="1"/>
      <c r="K45" s="1"/>
      <c r="L45" s="1"/>
      <c r="M45" s="2"/>
      <c r="N45" s="76"/>
      <c r="O45" s="77"/>
      <c r="P45" s="2"/>
      <c r="X45" s="46"/>
      <c r="AB45" s="47"/>
      <c r="AC45" s="46"/>
      <c r="AH45" s="47"/>
      <c r="AW45" s="7"/>
      <c r="AX45" s="7"/>
      <c r="AY45" s="40"/>
    </row>
    <row r="46" spans="2:51" x14ac:dyDescent="0.2">
      <c r="B46" s="78" t="s">
        <v>126</v>
      </c>
      <c r="C46" s="35"/>
      <c r="D46" s="25">
        <f t="shared" ref="D46:M46" si="1">1/(1+$D$29)^D42</f>
        <v>0.83659605795937497</v>
      </c>
      <c r="E46" s="25">
        <f t="shared" si="1"/>
        <v>0.69989296419316582</v>
      </c>
      <c r="F46" s="25">
        <f t="shared" si="1"/>
        <v>0.58552769483750444</v>
      </c>
      <c r="G46" s="25">
        <f t="shared" si="1"/>
        <v>0.48985016132709608</v>
      </c>
      <c r="H46" s="25">
        <f t="shared" si="1"/>
        <v>0.4098067139570124</v>
      </c>
      <c r="I46" s="25">
        <f t="shared" si="1"/>
        <v>0.34284268142172175</v>
      </c>
      <c r="J46" s="25">
        <f t="shared" si="1"/>
        <v>0.28682083577763423</v>
      </c>
      <c r="K46" s="25">
        <f t="shared" si="1"/>
        <v>0.23995318055218204</v>
      </c>
      <c r="L46" s="25">
        <f t="shared" si="1"/>
        <v>0.20074388494476966</v>
      </c>
      <c r="M46" s="79">
        <f t="shared" si="1"/>
        <v>0.16794154280424461</v>
      </c>
      <c r="N46" s="80">
        <f>+M46</f>
        <v>0.16794154280424461</v>
      </c>
      <c r="O46" s="11"/>
      <c r="P46" s="2"/>
      <c r="X46" s="46"/>
      <c r="AB46" s="47"/>
      <c r="AC46" s="46"/>
      <c r="AH46" s="47"/>
      <c r="AW46" s="7"/>
      <c r="AX46" s="7"/>
      <c r="AY46" s="40"/>
    </row>
    <row r="47" spans="2:51" ht="16" x14ac:dyDescent="0.2">
      <c r="B47" s="81" t="s">
        <v>127</v>
      </c>
      <c r="C47" s="82">
        <f>SUM(D47:N47)</f>
        <v>496450327.02512133</v>
      </c>
      <c r="D47" s="82">
        <f t="shared" ref="D47:M47" si="2">+D43*D46</f>
        <v>-1967461.7466452499</v>
      </c>
      <c r="E47" s="82">
        <f t="shared" si="2"/>
        <v>-1824843.4361275763</v>
      </c>
      <c r="F47" s="82">
        <f t="shared" si="2"/>
        <v>-3420100.9333883165</v>
      </c>
      <c r="G47" s="82">
        <f t="shared" si="2"/>
        <v>-458057.48978400795</v>
      </c>
      <c r="H47" s="82">
        <f t="shared" si="2"/>
        <v>9247761.4175108355</v>
      </c>
      <c r="I47" s="82">
        <f t="shared" si="2"/>
        <v>10894268.25802481</v>
      </c>
      <c r="J47" s="82">
        <f t="shared" si="2"/>
        <v>15742890.751833996</v>
      </c>
      <c r="K47" s="82">
        <f t="shared" si="2"/>
        <v>19943943.546598706</v>
      </c>
      <c r="L47" s="82">
        <f t="shared" si="2"/>
        <v>31354066.963972677</v>
      </c>
      <c r="M47" s="83">
        <f t="shared" si="2"/>
        <v>50688861.368173361</v>
      </c>
      <c r="N47" s="84">
        <f>+N44*N46</f>
        <v>366248998.32495207</v>
      </c>
      <c r="O47" s="11"/>
      <c r="P47" s="2"/>
      <c r="X47" s="46"/>
      <c r="AB47" s="47"/>
      <c r="AC47" s="46"/>
      <c r="AH47" s="47"/>
      <c r="AW47" s="7"/>
      <c r="AX47" s="7"/>
      <c r="AY47" s="40"/>
    </row>
    <row r="48" spans="2:51" x14ac:dyDescent="0.2">
      <c r="B48" s="21"/>
      <c r="C48" s="38"/>
      <c r="D48" s="38"/>
      <c r="E48" s="38"/>
      <c r="F48" s="38"/>
      <c r="G48" s="38"/>
      <c r="H48" s="38"/>
      <c r="I48" s="38"/>
      <c r="J48" s="38"/>
      <c r="K48" s="38"/>
      <c r="L48" s="38"/>
      <c r="M48" s="38"/>
      <c r="N48" s="38"/>
      <c r="O48" s="11"/>
      <c r="P48" s="2"/>
      <c r="X48" s="46"/>
      <c r="AB48" s="47"/>
      <c r="AC48" s="46"/>
      <c r="AH48" s="47"/>
      <c r="AW48" s="7"/>
      <c r="AX48" s="7"/>
      <c r="AY48" s="40"/>
    </row>
    <row r="49" spans="2:51" x14ac:dyDescent="0.2">
      <c r="B49" s="21"/>
      <c r="C49" s="1"/>
      <c r="D49" s="38">
        <f>-'[1]Cash Flow'!E19</f>
        <v>-4780967.5</v>
      </c>
      <c r="E49" s="38">
        <f>-'[1]Cash Flow'!G19</f>
        <v>-9130211.25</v>
      </c>
      <c r="F49" s="38"/>
      <c r="G49" s="38"/>
      <c r="H49" s="38"/>
      <c r="I49" s="38"/>
      <c r="J49" s="38"/>
      <c r="K49" s="38"/>
      <c r="L49" s="38"/>
      <c r="M49" s="38"/>
      <c r="N49" s="38"/>
      <c r="O49" s="11"/>
      <c r="P49" s="2"/>
      <c r="X49" s="46"/>
      <c r="AB49" s="47"/>
      <c r="AC49" s="46"/>
      <c r="AH49" s="47"/>
      <c r="AW49" s="7"/>
      <c r="AX49" s="7"/>
      <c r="AY49" s="40"/>
    </row>
    <row r="50" spans="2:51" x14ac:dyDescent="0.2">
      <c r="B50" s="70" t="s">
        <v>128</v>
      </c>
      <c r="C50" s="1"/>
      <c r="D50" s="85">
        <f>+D43+D49</f>
        <v>-7132713.875</v>
      </c>
      <c r="E50" s="85">
        <f t="shared" ref="E50:L50" si="3">+E43+E49</f>
        <v>-11737529.125</v>
      </c>
      <c r="F50" s="85">
        <f t="shared" si="3"/>
        <v>-5841057.5</v>
      </c>
      <c r="G50" s="85">
        <f t="shared" si="3"/>
        <v>-935097.15000000037</v>
      </c>
      <c r="H50" s="85">
        <f t="shared" si="3"/>
        <v>22566154.000300005</v>
      </c>
      <c r="I50" s="85">
        <f t="shared" si="3"/>
        <v>31776289.383946504</v>
      </c>
      <c r="J50" s="85">
        <f t="shared" si="3"/>
        <v>54887542.284546949</v>
      </c>
      <c r="K50" s="85">
        <f t="shared" si="3"/>
        <v>83115979.128526479</v>
      </c>
      <c r="L50" s="85">
        <f t="shared" si="3"/>
        <v>156189400.10351533</v>
      </c>
      <c r="M50" s="85">
        <f>+M43+M49+N44</f>
        <v>2482636831.4307733</v>
      </c>
      <c r="N50" s="41"/>
      <c r="O50" s="11"/>
      <c r="P50" s="2"/>
      <c r="X50" s="46"/>
      <c r="AB50" s="47"/>
      <c r="AC50" s="46"/>
      <c r="AH50" s="47"/>
      <c r="AW50" s="7"/>
      <c r="AX50" s="7"/>
      <c r="AY50" s="40"/>
    </row>
    <row r="51" spans="2:51" ht="16" x14ac:dyDescent="0.2">
      <c r="B51" s="86" t="s">
        <v>129</v>
      </c>
      <c r="C51" s="1"/>
      <c r="D51" s="87">
        <f>+IRR(D50:M50)</f>
        <v>0.87454377215462542</v>
      </c>
      <c r="E51" s="1"/>
      <c r="F51" s="1"/>
      <c r="G51" s="1"/>
      <c r="H51" s="1"/>
      <c r="I51" s="1"/>
      <c r="J51" s="1"/>
      <c r="K51" s="1"/>
      <c r="L51" s="1"/>
      <c r="M51" s="41"/>
      <c r="N51" s="41"/>
      <c r="O51" s="11"/>
      <c r="P51" s="2"/>
      <c r="X51" s="46"/>
      <c r="AB51" s="47"/>
      <c r="AC51" s="46"/>
      <c r="AH51" s="47"/>
      <c r="AW51" s="7"/>
      <c r="AX51" s="7"/>
      <c r="AY51" s="40"/>
    </row>
    <row r="52" spans="2:51" x14ac:dyDescent="0.2">
      <c r="B52" s="15"/>
      <c r="C52" s="1"/>
      <c r="D52" s="1"/>
      <c r="E52" s="1"/>
      <c r="F52" s="1"/>
      <c r="G52" s="1"/>
      <c r="H52" s="41"/>
      <c r="I52" s="41"/>
      <c r="J52" s="41"/>
      <c r="K52" s="41"/>
      <c r="L52" s="41"/>
      <c r="M52" s="41"/>
      <c r="N52" s="41"/>
      <c r="O52" s="11"/>
      <c r="P52" s="2"/>
      <c r="X52" s="46" t="s">
        <v>130</v>
      </c>
      <c r="Z52" s="3">
        <f>Z34</f>
        <v>0.88235294117647056</v>
      </c>
      <c r="AB52" s="47"/>
      <c r="AC52" s="46" t="s">
        <v>131</v>
      </c>
      <c r="AH52" s="47"/>
      <c r="AW52" s="7"/>
      <c r="AX52" s="7"/>
      <c r="AY52" s="40"/>
    </row>
    <row r="53" spans="2:51" x14ac:dyDescent="0.2">
      <c r="B53" s="15"/>
      <c r="C53" s="1"/>
      <c r="D53" s="1" t="s">
        <v>84</v>
      </c>
      <c r="E53" s="10" t="s">
        <v>132</v>
      </c>
      <c r="F53" s="41">
        <f>SUM(D47:N47)</f>
        <v>496450327.02512133</v>
      </c>
      <c r="G53" s="88" t="s">
        <v>133</v>
      </c>
      <c r="H53" s="1"/>
      <c r="I53" s="1"/>
      <c r="J53" s="1"/>
      <c r="K53" s="1"/>
      <c r="L53" s="1"/>
      <c r="M53" s="89"/>
      <c r="N53" s="1"/>
      <c r="O53" s="11"/>
      <c r="P53" s="2"/>
      <c r="X53" s="46">
        <f>1/(1-0.1)</f>
        <v>1.1111111111111112</v>
      </c>
      <c r="Z53" s="3">
        <f>1-0.15</f>
        <v>0.85</v>
      </c>
      <c r="AB53" s="47"/>
      <c r="AC53" s="46" t="s">
        <v>134</v>
      </c>
      <c r="AH53" s="47"/>
      <c r="AW53" s="7"/>
      <c r="AX53" s="7"/>
      <c r="AY53" s="40"/>
    </row>
    <row r="54" spans="2:51" x14ac:dyDescent="0.2">
      <c r="B54" s="15"/>
      <c r="C54" s="1"/>
      <c r="D54" s="1"/>
      <c r="E54" s="10" t="s">
        <v>135</v>
      </c>
      <c r="F54" s="41">
        <f>SUM(D43:M43)</f>
        <v>638624581.58588362</v>
      </c>
      <c r="G54" s="55" t="s">
        <v>136</v>
      </c>
      <c r="H54" s="1"/>
      <c r="I54" s="1"/>
      <c r="J54" s="1"/>
      <c r="K54" s="1"/>
      <c r="L54" s="1"/>
      <c r="M54" s="1" t="s">
        <v>84</v>
      </c>
      <c r="N54" s="1"/>
      <c r="O54" s="11"/>
      <c r="P54" s="2"/>
      <c r="X54" s="46" t="s">
        <v>137</v>
      </c>
      <c r="Z54" s="3">
        <f>Z53*1.2</f>
        <v>1.02</v>
      </c>
      <c r="AB54" s="47"/>
      <c r="AC54" s="46" t="s">
        <v>138</v>
      </c>
      <c r="AH54" s="47"/>
      <c r="AW54" s="7"/>
      <c r="AX54" s="7"/>
      <c r="AY54" s="40"/>
    </row>
    <row r="55" spans="2:51" x14ac:dyDescent="0.2">
      <c r="B55" s="15"/>
      <c r="C55" s="1"/>
      <c r="D55" s="90"/>
      <c r="E55" s="53" t="s">
        <v>139</v>
      </c>
      <c r="F55" s="91">
        <f>+F53*(1+D29)^2</f>
        <v>709323214.29667115</v>
      </c>
      <c r="G55" s="55" t="s">
        <v>140</v>
      </c>
      <c r="H55" s="1"/>
      <c r="I55" s="1"/>
      <c r="J55" s="1"/>
      <c r="K55" s="1"/>
      <c r="L55" s="92"/>
      <c r="M55" s="92"/>
      <c r="N55" s="92"/>
      <c r="O55" s="11"/>
      <c r="P55" s="2"/>
      <c r="X55" s="46" t="s">
        <v>141</v>
      </c>
      <c r="AB55" s="47"/>
      <c r="AC55" s="46" t="s">
        <v>142</v>
      </c>
      <c r="AH55" s="47"/>
      <c r="AW55" s="7"/>
      <c r="AX55" s="7"/>
      <c r="AY55" s="40"/>
    </row>
    <row r="56" spans="2:51" x14ac:dyDescent="0.2">
      <c r="B56" s="15"/>
      <c r="C56" s="1"/>
      <c r="D56" s="1"/>
      <c r="E56" s="10" t="s">
        <v>143</v>
      </c>
      <c r="F56" s="38">
        <f>+F53*(1+D29)^10</f>
        <v>2956090070.0060372</v>
      </c>
      <c r="G56" s="55"/>
      <c r="H56" s="1"/>
      <c r="I56" s="52"/>
      <c r="J56" s="1"/>
      <c r="K56" s="1"/>
      <c r="L56" s="1"/>
      <c r="M56" s="1"/>
      <c r="N56" s="1"/>
      <c r="O56" s="11"/>
      <c r="P56" s="2"/>
      <c r="X56" s="46" t="s">
        <v>144</v>
      </c>
      <c r="AB56" s="47"/>
      <c r="AC56" s="46" t="s">
        <v>145</v>
      </c>
      <c r="AH56" s="47"/>
      <c r="AW56" s="7"/>
      <c r="AX56" s="7"/>
      <c r="AY56" s="40"/>
    </row>
    <row r="57" spans="2:51" x14ac:dyDescent="0.2">
      <c r="B57" s="15"/>
      <c r="C57" s="1"/>
      <c r="D57" s="1"/>
      <c r="E57" s="10" t="s">
        <v>146</v>
      </c>
      <c r="F57" s="41">
        <f>+N44+F54</f>
        <v>2819436977.4316087</v>
      </c>
      <c r="G57" s="55" t="s">
        <v>147</v>
      </c>
      <c r="H57" s="1"/>
      <c r="I57" s="1"/>
      <c r="J57" s="1"/>
      <c r="K57" s="93"/>
      <c r="L57" s="94"/>
      <c r="M57" s="1"/>
      <c r="N57" s="1"/>
      <c r="O57" s="11"/>
      <c r="P57" s="2"/>
      <c r="X57" s="46" t="s">
        <v>148</v>
      </c>
      <c r="AB57" s="47"/>
      <c r="AC57" s="46" t="s">
        <v>149</v>
      </c>
      <c r="AH57" s="47"/>
      <c r="AW57" s="7"/>
      <c r="AX57" s="7"/>
      <c r="AY57" s="40"/>
    </row>
    <row r="58" spans="2:51" ht="15" thickBot="1" x14ac:dyDescent="0.25">
      <c r="B58" s="31"/>
      <c r="C58" s="32"/>
      <c r="D58" s="32"/>
      <c r="E58" s="95" t="s">
        <v>150</v>
      </c>
      <c r="F58" s="96">
        <f>+F56/D8</f>
        <v>252.11855607727395</v>
      </c>
      <c r="G58" s="59"/>
      <c r="H58" s="32"/>
      <c r="I58" s="32"/>
      <c r="J58" s="32"/>
      <c r="K58" s="97"/>
      <c r="L58" s="98"/>
      <c r="M58" s="32"/>
      <c r="N58" s="32"/>
      <c r="O58" s="48"/>
      <c r="P58" s="2"/>
      <c r="X58" s="46" t="s">
        <v>151</v>
      </c>
      <c r="AB58" s="47"/>
      <c r="AC58" s="46" t="s">
        <v>152</v>
      </c>
      <c r="AH58" s="47"/>
      <c r="AW58" s="7"/>
      <c r="AX58" s="7"/>
      <c r="AY58" s="40"/>
    </row>
    <row r="59" spans="2:51" ht="15" thickBot="1" x14ac:dyDescent="0.25">
      <c r="B59" s="1"/>
      <c r="C59" s="1"/>
      <c r="D59" s="1"/>
      <c r="E59" s="10"/>
      <c r="F59" s="99"/>
      <c r="G59" s="55"/>
      <c r="H59" s="1"/>
      <c r="I59" s="1"/>
      <c r="J59" s="1"/>
      <c r="K59" s="56"/>
      <c r="L59" s="92"/>
      <c r="M59" s="1"/>
      <c r="N59" s="1"/>
      <c r="O59" s="1"/>
      <c r="P59" s="2"/>
      <c r="X59" s="46"/>
      <c r="AB59" s="47"/>
      <c r="AC59" s="46"/>
      <c r="AH59" s="47"/>
      <c r="AW59" s="7"/>
      <c r="AX59" s="7"/>
      <c r="AY59" s="40"/>
    </row>
    <row r="60" spans="2:51" x14ac:dyDescent="0.2">
      <c r="B60" s="60" t="s">
        <v>153</v>
      </c>
      <c r="C60" s="5"/>
      <c r="D60" s="61" t="s">
        <v>154</v>
      </c>
      <c r="E60" s="100">
        <f>N44</f>
        <v>2180812395.8457251</v>
      </c>
      <c r="F60" s="63" t="s">
        <v>155</v>
      </c>
      <c r="G60" s="5"/>
      <c r="H60" s="101"/>
      <c r="I60" s="5"/>
      <c r="J60" s="6"/>
      <c r="K60" s="26"/>
      <c r="L60" s="1"/>
      <c r="M60" s="35"/>
      <c r="N60" s="35"/>
      <c r="O60" s="35"/>
      <c r="P60" s="102"/>
      <c r="X60" s="46" t="s">
        <v>156</v>
      </c>
      <c r="AB60" s="47"/>
      <c r="AC60" s="46" t="s">
        <v>157</v>
      </c>
      <c r="AH60" s="47"/>
      <c r="AW60" s="7"/>
      <c r="AX60" s="7"/>
      <c r="AY60" s="40"/>
    </row>
    <row r="61" spans="2:51" ht="15" thickBot="1" x14ac:dyDescent="0.25">
      <c r="B61" s="15"/>
      <c r="C61" s="1"/>
      <c r="D61" s="10" t="s">
        <v>158</v>
      </c>
      <c r="E61" s="38">
        <v>250000</v>
      </c>
      <c r="F61" s="55"/>
      <c r="G61" s="1"/>
      <c r="H61" s="1"/>
      <c r="I61" s="1"/>
      <c r="J61" s="103"/>
      <c r="K61" s="1"/>
      <c r="L61" s="2"/>
      <c r="X61" s="46"/>
      <c r="AB61" s="47"/>
      <c r="AC61" s="46"/>
      <c r="AH61" s="47"/>
      <c r="AW61" s="7"/>
      <c r="AX61" s="7"/>
      <c r="AY61" s="40"/>
    </row>
    <row r="62" spans="2:51" x14ac:dyDescent="0.2">
      <c r="B62" s="15"/>
      <c r="C62" s="1"/>
      <c r="D62" s="10" t="s">
        <v>159</v>
      </c>
      <c r="E62" s="38">
        <f>[1]MASTER!D7</f>
        <v>5259064.25</v>
      </c>
      <c r="F62" s="55" t="s">
        <v>160</v>
      </c>
      <c r="G62" s="1"/>
      <c r="H62" s="104"/>
      <c r="I62" s="5"/>
      <c r="J62" s="156" t="s">
        <v>161</v>
      </c>
      <c r="K62" s="1"/>
      <c r="L62" s="2"/>
      <c r="X62" s="46" t="s">
        <v>162</v>
      </c>
      <c r="AB62" s="47"/>
      <c r="AC62" s="46" t="s">
        <v>163</v>
      </c>
      <c r="AH62" s="47"/>
      <c r="AW62" s="7"/>
      <c r="AX62" s="7"/>
      <c r="AY62" s="40"/>
    </row>
    <row r="63" spans="2:51" x14ac:dyDescent="0.2">
      <c r="B63" s="15"/>
      <c r="C63" s="1"/>
      <c r="D63" s="10" t="s">
        <v>164</v>
      </c>
      <c r="E63" s="38">
        <f>[1]MASTER!D11</f>
        <v>9130211.25</v>
      </c>
      <c r="F63" s="55" t="s">
        <v>77</v>
      </c>
      <c r="G63" s="1"/>
      <c r="H63" s="15"/>
      <c r="I63" s="65" t="s">
        <v>165</v>
      </c>
      <c r="J63" s="157"/>
      <c r="K63" s="1"/>
      <c r="L63" s="2"/>
      <c r="X63" s="46" t="s">
        <v>166</v>
      </c>
      <c r="AB63" s="47"/>
      <c r="AC63" s="46"/>
      <c r="AH63" s="47"/>
      <c r="AW63" s="7"/>
      <c r="AX63" s="7"/>
      <c r="AY63" s="40"/>
    </row>
    <row r="64" spans="2:51" x14ac:dyDescent="0.2">
      <c r="B64" s="15"/>
      <c r="C64" s="1"/>
      <c r="D64" s="10" t="s">
        <v>167</v>
      </c>
      <c r="E64" s="38">
        <f>(0.06*[1]MASTER!D5)*10</f>
        <v>2868580.5</v>
      </c>
      <c r="F64" s="55" t="s">
        <v>168</v>
      </c>
      <c r="G64" s="1"/>
      <c r="H64" s="21" t="s">
        <v>169</v>
      </c>
      <c r="I64" s="41">
        <f>E64+E67</f>
        <v>236082331.60345539</v>
      </c>
      <c r="J64" s="105">
        <f>I64/[1]MASTER!D5</f>
        <v>49.3796143988545</v>
      </c>
      <c r="K64" s="1"/>
      <c r="L64" s="2"/>
      <c r="W64" s="106"/>
      <c r="X64" s="46" t="s">
        <v>170</v>
      </c>
      <c r="AB64" s="47"/>
      <c r="AC64" s="46" t="s">
        <v>171</v>
      </c>
      <c r="AH64" s="47"/>
      <c r="AW64" s="7"/>
      <c r="AX64" s="7"/>
      <c r="AY64" s="40"/>
    </row>
    <row r="65" spans="1:51" ht="15" thickBot="1" x14ac:dyDescent="0.25">
      <c r="B65" s="15"/>
      <c r="C65" s="1"/>
      <c r="D65" s="10" t="s">
        <v>172</v>
      </c>
      <c r="E65" s="107">
        <f>(0.06*[1]MASTER!D11)*8</f>
        <v>4382501.3999999994</v>
      </c>
      <c r="F65" s="55" t="s">
        <v>173</v>
      </c>
      <c r="G65" s="1"/>
      <c r="H65" s="24" t="s">
        <v>174</v>
      </c>
      <c r="I65" s="108">
        <f>E65+E68</f>
        <v>328286635.33096975</v>
      </c>
      <c r="J65" s="109">
        <f>I65/[1]MASTER!D11</f>
        <v>35.956083199166912</v>
      </c>
      <c r="K65" s="1"/>
      <c r="L65" s="2"/>
      <c r="W65" s="110"/>
      <c r="X65" s="111" t="s">
        <v>175</v>
      </c>
      <c r="Y65" s="51"/>
      <c r="Z65" s="51"/>
      <c r="AA65" s="51"/>
      <c r="AB65" s="112"/>
      <c r="AC65" s="111" t="s">
        <v>176</v>
      </c>
      <c r="AD65" s="51"/>
      <c r="AE65" s="51"/>
      <c r="AF65" s="51"/>
      <c r="AG65" s="51"/>
      <c r="AH65" s="112"/>
      <c r="AW65" s="7"/>
      <c r="AX65" s="7"/>
      <c r="AY65" s="40"/>
    </row>
    <row r="66" spans="1:51" ht="15" thickTop="1" x14ac:dyDescent="0.2">
      <c r="B66" s="15"/>
      <c r="C66" s="1"/>
      <c r="D66" s="39" t="s">
        <v>177</v>
      </c>
      <c r="E66" s="113">
        <f>E60-E61-E62-E63-E64-E65</f>
        <v>2158922038.445725</v>
      </c>
      <c r="F66" s="55"/>
      <c r="G66" s="41"/>
      <c r="H66" s="1"/>
      <c r="I66" s="114"/>
      <c r="J66" s="11"/>
      <c r="K66" s="1"/>
      <c r="L66" s="2"/>
      <c r="T66" s="115"/>
      <c r="W66" s="116"/>
      <c r="AW66" s="7"/>
      <c r="AX66" s="7"/>
      <c r="AY66" s="40"/>
    </row>
    <row r="67" spans="1:51" ht="15" thickBot="1" x14ac:dyDescent="0.25">
      <c r="B67" s="15"/>
      <c r="C67" s="1"/>
      <c r="D67" s="10" t="s">
        <v>178</v>
      </c>
      <c r="E67" s="38">
        <f>[1]MASTER!L12*' Eq Valuation'!E66</f>
        <v>233213751.10345539</v>
      </c>
      <c r="F67" s="55" t="s">
        <v>179</v>
      </c>
      <c r="G67" s="1"/>
      <c r="H67" s="26"/>
      <c r="I67" s="26"/>
      <c r="J67" s="117"/>
      <c r="K67" s="26"/>
      <c r="L67" s="118"/>
      <c r="M67" s="119"/>
      <c r="T67" s="115"/>
      <c r="X67" s="3" t="s">
        <v>180</v>
      </c>
      <c r="AW67" s="7"/>
      <c r="AX67" s="7"/>
      <c r="AY67" s="120"/>
    </row>
    <row r="68" spans="1:51" ht="15" thickBot="1" x14ac:dyDescent="0.25">
      <c r="B68" s="15"/>
      <c r="C68" s="1"/>
      <c r="D68" s="10" t="s">
        <v>181</v>
      </c>
      <c r="E68" s="107">
        <f>[1]MASTER!L13*' Eq Valuation'!E66</f>
        <v>323904133.93096977</v>
      </c>
      <c r="F68" s="55" t="s">
        <v>174</v>
      </c>
      <c r="G68" s="1"/>
      <c r="H68" s="26"/>
      <c r="I68" s="26"/>
      <c r="J68" s="117"/>
      <c r="K68" s="26"/>
      <c r="L68" s="118"/>
      <c r="T68" s="115"/>
      <c r="X68" s="43" t="s">
        <v>182</v>
      </c>
      <c r="Y68" s="44"/>
      <c r="Z68" s="44"/>
      <c r="AA68" s="45"/>
      <c r="AW68" s="7"/>
      <c r="AX68" s="7"/>
      <c r="AY68" s="120"/>
    </row>
    <row r="69" spans="1:51" ht="18" customHeight="1" thickTop="1" x14ac:dyDescent="0.2">
      <c r="B69" s="15"/>
      <c r="C69" s="1"/>
      <c r="D69" s="39" t="s">
        <v>183</v>
      </c>
      <c r="E69" s="113">
        <f>F69*E66</f>
        <v>557117885.03442514</v>
      </c>
      <c r="F69" s="121">
        <f>[1]MASTER!L12+[1]MASTER!L13</f>
        <v>0.2580537301085275</v>
      </c>
      <c r="G69" s="1"/>
      <c r="H69" s="1"/>
      <c r="I69" s="1"/>
      <c r="J69" s="11"/>
      <c r="K69" s="1"/>
      <c r="L69" s="2"/>
      <c r="T69" s="115"/>
      <c r="X69" s="46" t="s">
        <v>184</v>
      </c>
      <c r="AA69" s="47"/>
      <c r="AC69" s="3" t="s">
        <v>185</v>
      </c>
      <c r="AW69" s="7"/>
      <c r="AX69" s="7"/>
      <c r="AY69" s="120"/>
    </row>
    <row r="70" spans="1:51" ht="15" thickBot="1" x14ac:dyDescent="0.25">
      <c r="B70" s="15"/>
      <c r="C70" s="1"/>
      <c r="D70" s="10" t="s">
        <v>186</v>
      </c>
      <c r="E70" s="107">
        <f>E66-E69</f>
        <v>1601804153.4112997</v>
      </c>
      <c r="F70" s="122">
        <f>[1]MASTER!M6+[1]MASTER!L7+[1]MASTER!L8</f>
        <v>0.74194626989147228</v>
      </c>
      <c r="G70" s="123" t="s">
        <v>187</v>
      </c>
      <c r="H70" s="35"/>
      <c r="I70" s="35"/>
      <c r="J70" s="11"/>
      <c r="K70" s="1"/>
      <c r="L70" s="2"/>
      <c r="T70" s="115"/>
      <c r="X70" s="46" t="s">
        <v>188</v>
      </c>
      <c r="AA70" s="47"/>
      <c r="AW70" s="7"/>
      <c r="AX70" s="7"/>
      <c r="AY70" s="124"/>
    </row>
    <row r="71" spans="1:51" ht="16" thickTop="1" thickBot="1" x14ac:dyDescent="0.25">
      <c r="B71" s="31"/>
      <c r="C71" s="32"/>
      <c r="D71" s="125" t="s">
        <v>189</v>
      </c>
      <c r="E71" s="126">
        <f>E61+E62+E63+E64+E65+E67+E68+E70</f>
        <v>2180812395.8457251</v>
      </c>
      <c r="F71" s="127">
        <f>SUM(F69:F70)</f>
        <v>0.99999999999999978</v>
      </c>
      <c r="G71" s="128"/>
      <c r="H71" s="32"/>
      <c r="I71" s="32"/>
      <c r="J71" s="48"/>
      <c r="K71" s="1"/>
      <c r="L71" s="2"/>
      <c r="T71" s="115"/>
      <c r="X71" s="111" t="s">
        <v>190</v>
      </c>
      <c r="Y71" s="51"/>
      <c r="Z71" s="51"/>
      <c r="AA71" s="112"/>
      <c r="AW71" s="7"/>
      <c r="AX71" s="7"/>
      <c r="AY71" s="124"/>
    </row>
    <row r="72" spans="1:51" x14ac:dyDescent="0.2">
      <c r="B72" s="1"/>
      <c r="C72" s="1"/>
      <c r="D72" s="1"/>
      <c r="E72" s="1"/>
      <c r="G72" s="1"/>
      <c r="H72" s="1"/>
      <c r="I72" s="1"/>
      <c r="J72" s="1"/>
      <c r="K72" s="56"/>
      <c r="L72" s="129"/>
      <c r="T72" s="115"/>
      <c r="X72" s="130" t="s">
        <v>191</v>
      </c>
      <c r="Y72" s="44"/>
      <c r="Z72" s="44"/>
      <c r="AA72" s="44"/>
      <c r="AB72" s="45"/>
      <c r="AD72" s="8"/>
      <c r="AW72" s="7"/>
      <c r="AX72" s="7"/>
      <c r="AY72" s="124"/>
    </row>
    <row r="73" spans="1:51" ht="15" thickBot="1" x14ac:dyDescent="0.25">
      <c r="A73" s="131"/>
      <c r="B73" s="131"/>
      <c r="C73" s="4"/>
      <c r="D73" s="4"/>
      <c r="E73" s="4"/>
      <c r="F73" s="4"/>
      <c r="G73" s="4"/>
      <c r="H73" s="4"/>
      <c r="I73" s="4"/>
      <c r="J73" s="4"/>
      <c r="K73" s="4"/>
      <c r="L73" s="4"/>
      <c r="M73" s="4"/>
      <c r="N73" s="4"/>
      <c r="O73" s="4"/>
      <c r="P73" s="4"/>
      <c r="Q73" s="132"/>
      <c r="R73" s="132"/>
      <c r="S73" s="132"/>
      <c r="T73" s="115"/>
      <c r="X73" s="111" t="s">
        <v>192</v>
      </c>
      <c r="Y73" s="51"/>
      <c r="Z73" s="51"/>
      <c r="AA73" s="51"/>
      <c r="AB73" s="112"/>
      <c r="AW73" s="7"/>
      <c r="AX73" s="7"/>
      <c r="AY73" s="124"/>
    </row>
    <row r="74" spans="1:51" ht="15" thickBot="1" x14ac:dyDescent="0.25">
      <c r="E74" s="133"/>
      <c r="F74" s="134"/>
      <c r="G74" s="135"/>
      <c r="K74" s="44"/>
      <c r="L74" s="44"/>
      <c r="M74" s="136"/>
      <c r="N74" s="136"/>
      <c r="O74" s="44"/>
      <c r="P74" s="44"/>
      <c r="Q74" s="45"/>
      <c r="T74" s="115"/>
      <c r="AW74" s="7"/>
      <c r="AX74" s="7"/>
      <c r="AY74" s="124"/>
    </row>
    <row r="75" spans="1:51" x14ac:dyDescent="0.2">
      <c r="B75" s="235"/>
      <c r="C75" s="159"/>
      <c r="D75" s="159"/>
      <c r="E75" s="236" t="s">
        <v>193</v>
      </c>
      <c r="F75" s="237"/>
      <c r="G75" s="159"/>
      <c r="H75" s="159"/>
      <c r="I75" s="159"/>
      <c r="J75" s="238"/>
      <c r="K75" s="159"/>
      <c r="L75" s="159"/>
      <c r="M75" s="159"/>
      <c r="N75" s="159"/>
      <c r="O75" s="159"/>
      <c r="P75" s="159"/>
      <c r="Q75" s="161"/>
      <c r="R75" s="4"/>
      <c r="S75" s="4"/>
      <c r="T75" s="115"/>
      <c r="X75" s="137" t="s">
        <v>194</v>
      </c>
      <c r="Y75" s="44"/>
      <c r="Z75" s="44"/>
      <c r="AA75" s="44"/>
      <c r="AB75" s="44"/>
      <c r="AC75" s="44"/>
      <c r="AD75" s="44"/>
      <c r="AE75" s="45"/>
      <c r="AW75" s="7"/>
      <c r="AX75" s="7"/>
      <c r="AY75" s="124"/>
    </row>
    <row r="76" spans="1:51" x14ac:dyDescent="0.2">
      <c r="B76" s="131"/>
      <c r="C76" s="4"/>
      <c r="D76" s="4"/>
      <c r="E76" s="239" t="s">
        <v>195</v>
      </c>
      <c r="F76" s="229" t="s">
        <v>196</v>
      </c>
      <c r="G76" s="4"/>
      <c r="H76" s="191"/>
      <c r="I76" s="191"/>
      <c r="J76" s="240"/>
      <c r="K76" s="191"/>
      <c r="L76" s="191"/>
      <c r="M76" s="4"/>
      <c r="N76" s="4"/>
      <c r="O76" s="4"/>
      <c r="P76" s="4"/>
      <c r="Q76" s="132"/>
      <c r="R76" s="4"/>
      <c r="S76" s="4"/>
      <c r="T76" s="115"/>
      <c r="X76" s="46" t="s">
        <v>197</v>
      </c>
      <c r="AE76" s="47"/>
      <c r="AW76" s="7"/>
      <c r="AX76" s="7"/>
      <c r="AY76" s="124"/>
    </row>
    <row r="77" spans="1:51" ht="15" thickBot="1" x14ac:dyDescent="0.25">
      <c r="A77" s="15"/>
      <c r="B77" s="241"/>
      <c r="C77" s="191"/>
      <c r="D77" s="242"/>
      <c r="E77" s="239" t="s">
        <v>198</v>
      </c>
      <c r="F77" s="229"/>
      <c r="G77" s="4"/>
      <c r="H77" s="191"/>
      <c r="I77" s="191"/>
      <c r="J77" s="191"/>
      <c r="K77" s="4"/>
      <c r="L77" s="4"/>
      <c r="M77" s="4"/>
      <c r="N77" s="4"/>
      <c r="O77" s="4"/>
      <c r="P77" s="4"/>
      <c r="Q77" s="132"/>
      <c r="R77" s="4"/>
      <c r="S77" s="4"/>
      <c r="T77" s="115"/>
      <c r="X77" s="111" t="s">
        <v>199</v>
      </c>
      <c r="Y77" s="51"/>
      <c r="Z77" s="51"/>
      <c r="AA77" s="51"/>
      <c r="AB77" s="51"/>
      <c r="AC77" s="51"/>
      <c r="AD77" s="51"/>
      <c r="AE77" s="112"/>
      <c r="AW77" s="7"/>
      <c r="AX77" s="7"/>
      <c r="AY77" s="124"/>
    </row>
    <row r="78" spans="1:51" ht="15" thickBot="1" x14ac:dyDescent="0.25">
      <c r="A78" s="15"/>
      <c r="B78" s="241"/>
      <c r="C78" s="191"/>
      <c r="D78" s="191"/>
      <c r="E78" s="239" t="s">
        <v>200</v>
      </c>
      <c r="F78" s="229" t="s">
        <v>201</v>
      </c>
      <c r="G78" s="4"/>
      <c r="H78" s="191"/>
      <c r="I78" s="191"/>
      <c r="J78" s="191"/>
      <c r="K78" s="191"/>
      <c r="L78" s="4"/>
      <c r="M78" s="4"/>
      <c r="N78" s="4"/>
      <c r="O78" s="4"/>
      <c r="P78" s="4"/>
      <c r="Q78" s="132"/>
      <c r="R78" s="4"/>
      <c r="S78" s="4"/>
      <c r="T78" s="115"/>
      <c r="AW78" s="7"/>
      <c r="AX78" s="7"/>
      <c r="AY78" s="124"/>
    </row>
    <row r="79" spans="1:51" x14ac:dyDescent="0.2">
      <c r="A79" s="15"/>
      <c r="B79" s="241"/>
      <c r="C79" s="191"/>
      <c r="D79" s="191"/>
      <c r="E79" s="239" t="s">
        <v>202</v>
      </c>
      <c r="F79" s="229" t="s">
        <v>203</v>
      </c>
      <c r="G79" s="4"/>
      <c r="H79" s="191"/>
      <c r="I79" s="191"/>
      <c r="J79" s="191"/>
      <c r="K79" s="191"/>
      <c r="L79" s="191"/>
      <c r="M79" s="191"/>
      <c r="N79" s="191"/>
      <c r="O79" s="4"/>
      <c r="P79" s="4"/>
      <c r="Q79" s="132"/>
      <c r="R79" s="4"/>
      <c r="S79" s="4"/>
      <c r="T79" s="115"/>
      <c r="X79" s="43" t="s">
        <v>204</v>
      </c>
      <c r="Y79" s="44"/>
      <c r="Z79" s="44"/>
      <c r="AA79" s="44"/>
      <c r="AB79" s="44"/>
      <c r="AC79" s="44"/>
      <c r="AD79" s="44"/>
      <c r="AE79" s="45"/>
      <c r="AW79" s="7"/>
      <c r="AX79" s="7"/>
      <c r="AY79" s="124"/>
    </row>
    <row r="80" spans="1:51" ht="15" thickBot="1" x14ac:dyDescent="0.25">
      <c r="A80" s="15"/>
      <c r="B80" s="131"/>
      <c r="C80" s="4"/>
      <c r="D80" s="4"/>
      <c r="E80" s="239" t="s">
        <v>205</v>
      </c>
      <c r="F80" s="4"/>
      <c r="G80" s="243"/>
      <c r="H80" s="4"/>
      <c r="I80" s="4"/>
      <c r="J80" s="4"/>
      <c r="K80" s="4"/>
      <c r="L80" s="4"/>
      <c r="M80" s="4"/>
      <c r="N80" s="4"/>
      <c r="O80" s="4"/>
      <c r="P80" s="4"/>
      <c r="Q80" s="132"/>
      <c r="R80" s="4"/>
      <c r="S80" s="4"/>
      <c r="T80" s="115"/>
      <c r="X80" s="111" t="s">
        <v>206</v>
      </c>
      <c r="Y80" s="51"/>
      <c r="Z80" s="51"/>
      <c r="AA80" s="51"/>
      <c r="AB80" s="51"/>
      <c r="AC80" s="51"/>
      <c r="AD80" s="51"/>
      <c r="AE80" s="112"/>
      <c r="AW80" s="7"/>
      <c r="AX80" s="7"/>
      <c r="AY80" s="124"/>
    </row>
    <row r="81" spans="1:51" ht="15" thickBot="1" x14ac:dyDescent="0.25">
      <c r="A81" s="52"/>
      <c r="B81" s="131"/>
      <c r="C81" s="4"/>
      <c r="D81" s="4"/>
      <c r="E81" s="239" t="s">
        <v>207</v>
      </c>
      <c r="F81" s="229" t="s">
        <v>208</v>
      </c>
      <c r="G81" s="4"/>
      <c r="H81" s="4"/>
      <c r="I81" s="4"/>
      <c r="J81" s="132"/>
      <c r="K81" s="4"/>
      <c r="L81" s="4"/>
      <c r="M81" s="4"/>
      <c r="N81" s="4"/>
      <c r="O81" s="4"/>
      <c r="P81" s="4"/>
      <c r="Q81" s="132"/>
      <c r="R81" s="4"/>
      <c r="S81" s="4"/>
      <c r="T81" s="115"/>
      <c r="AW81" s="7"/>
      <c r="AX81" s="7"/>
      <c r="AY81" s="124"/>
    </row>
    <row r="82" spans="1:51" x14ac:dyDescent="0.2">
      <c r="B82" s="131"/>
      <c r="C82" s="4"/>
      <c r="D82" s="4"/>
      <c r="E82" s="239" t="s">
        <v>209</v>
      </c>
      <c r="F82" s="229" t="s">
        <v>210</v>
      </c>
      <c r="G82" s="4"/>
      <c r="H82" s="4"/>
      <c r="I82" s="4"/>
      <c r="J82" s="132"/>
      <c r="K82" s="4"/>
      <c r="L82" s="4"/>
      <c r="M82" s="4"/>
      <c r="N82" s="4"/>
      <c r="O82" s="4"/>
      <c r="P82" s="4"/>
      <c r="Q82" s="132"/>
      <c r="R82" s="4"/>
      <c r="S82" s="4"/>
      <c r="T82" s="115"/>
      <c r="X82" s="43" t="s">
        <v>211</v>
      </c>
      <c r="Y82" s="44"/>
      <c r="Z82" s="44"/>
      <c r="AA82" s="44"/>
      <c r="AB82" s="44"/>
      <c r="AC82" s="44"/>
      <c r="AD82" s="45"/>
      <c r="AW82" s="7"/>
      <c r="AX82" s="7"/>
      <c r="AY82" s="124"/>
    </row>
    <row r="83" spans="1:51" x14ac:dyDescent="0.2">
      <c r="B83" s="131"/>
      <c r="C83" s="4"/>
      <c r="D83" s="4"/>
      <c r="E83" s="239" t="s">
        <v>209</v>
      </c>
      <c r="F83" s="229" t="s">
        <v>212</v>
      </c>
      <c r="G83" s="4"/>
      <c r="H83" s="4"/>
      <c r="I83" s="4"/>
      <c r="J83" s="132"/>
      <c r="K83" s="4"/>
      <c r="L83" s="4"/>
      <c r="M83" s="4"/>
      <c r="N83" s="4"/>
      <c r="O83" s="4"/>
      <c r="P83" s="4"/>
      <c r="Q83" s="132"/>
      <c r="R83" s="4"/>
      <c r="S83" s="4"/>
      <c r="T83" s="115"/>
      <c r="X83" s="46" t="s">
        <v>213</v>
      </c>
      <c r="AD83" s="47"/>
      <c r="AW83" s="7"/>
      <c r="AX83" s="7"/>
      <c r="AY83" s="124"/>
    </row>
    <row r="84" spans="1:51" ht="15" thickBot="1" x14ac:dyDescent="0.25">
      <c r="A84" s="15"/>
      <c r="B84" s="200"/>
      <c r="C84" s="201"/>
      <c r="D84" s="201"/>
      <c r="E84" s="244" t="s">
        <v>214</v>
      </c>
      <c r="F84" s="234" t="s">
        <v>215</v>
      </c>
      <c r="G84" s="201"/>
      <c r="H84" s="201"/>
      <c r="I84" s="201"/>
      <c r="J84" s="223"/>
      <c r="K84" s="201"/>
      <c r="L84" s="201"/>
      <c r="M84" s="201"/>
      <c r="N84" s="201"/>
      <c r="O84" s="201"/>
      <c r="P84" s="201"/>
      <c r="Q84" s="223"/>
      <c r="R84" s="4"/>
      <c r="S84" s="4"/>
      <c r="T84" s="115"/>
      <c r="X84" s="111"/>
      <c r="Y84" s="51"/>
      <c r="Z84" s="51"/>
      <c r="AA84" s="51"/>
      <c r="AB84" s="51"/>
      <c r="AC84" s="51"/>
      <c r="AD84" s="112"/>
      <c r="AW84" s="7"/>
      <c r="AX84" s="7"/>
      <c r="AY84" s="124"/>
    </row>
    <row r="85" spans="1:51" x14ac:dyDescent="0.2">
      <c r="A85" s="15"/>
      <c r="B85" s="235"/>
      <c r="C85" s="236" t="s">
        <v>216</v>
      </c>
      <c r="D85" s="245" t="s">
        <v>217</v>
      </c>
      <c r="E85" s="159"/>
      <c r="F85" s="159"/>
      <c r="G85" s="159"/>
      <c r="H85" s="159"/>
      <c r="I85" s="159"/>
      <c r="J85" s="159"/>
      <c r="K85" s="161"/>
      <c r="L85" s="4"/>
      <c r="M85" s="4"/>
      <c r="N85" s="4"/>
      <c r="O85" s="4"/>
      <c r="P85" s="4"/>
      <c r="Q85" s="4"/>
      <c r="R85" s="4"/>
      <c r="S85" s="4"/>
      <c r="T85" s="115"/>
      <c r="AD85" s="138"/>
      <c r="AW85" s="7"/>
      <c r="AX85" s="7"/>
      <c r="AY85" s="124"/>
    </row>
    <row r="86" spans="1:51" x14ac:dyDescent="0.2">
      <c r="A86" s="15"/>
      <c r="B86" s="131"/>
      <c r="C86" s="239" t="s">
        <v>218</v>
      </c>
      <c r="D86" s="229" t="s">
        <v>219</v>
      </c>
      <c r="E86" s="4"/>
      <c r="F86" s="4"/>
      <c r="G86" s="4"/>
      <c r="H86" s="4"/>
      <c r="I86" s="4"/>
      <c r="J86" s="4"/>
      <c r="K86" s="132"/>
      <c r="L86" s="4"/>
      <c r="M86" s="4"/>
      <c r="N86" s="4"/>
      <c r="O86" s="4"/>
      <c r="P86" s="4"/>
      <c r="Q86" s="4"/>
      <c r="R86" s="4"/>
      <c r="S86" s="4"/>
      <c r="T86" s="115"/>
      <c r="AW86" s="7"/>
      <c r="AX86" s="7"/>
      <c r="AY86" s="124"/>
    </row>
    <row r="87" spans="1:51" x14ac:dyDescent="0.2">
      <c r="A87" s="15"/>
      <c r="B87" s="131"/>
      <c r="C87" s="239" t="s">
        <v>220</v>
      </c>
      <c r="D87" s="229" t="s">
        <v>221</v>
      </c>
      <c r="E87" s="4"/>
      <c r="F87" s="4"/>
      <c r="G87" s="4"/>
      <c r="H87" s="4"/>
      <c r="I87" s="4"/>
      <c r="J87" s="4"/>
      <c r="K87" s="132"/>
      <c r="L87" s="4"/>
      <c r="M87" s="4"/>
      <c r="N87" s="4"/>
      <c r="O87" s="4"/>
      <c r="P87" s="4"/>
      <c r="Q87" s="4"/>
      <c r="R87" s="4"/>
      <c r="S87" s="4"/>
      <c r="AW87" s="7"/>
      <c r="AX87" s="7"/>
      <c r="AY87" s="124"/>
    </row>
    <row r="88" spans="1:51" x14ac:dyDescent="0.2">
      <c r="A88" s="15"/>
      <c r="B88" s="241"/>
      <c r="C88" s="239" t="s">
        <v>222</v>
      </c>
      <c r="D88" s="229" t="s">
        <v>223</v>
      </c>
      <c r="E88" s="4"/>
      <c r="F88" s="191"/>
      <c r="G88" s="191"/>
      <c r="H88" s="132"/>
      <c r="I88" s="4"/>
      <c r="J88" s="4"/>
      <c r="K88" s="132"/>
      <c r="L88" s="4"/>
      <c r="M88" s="4"/>
      <c r="N88" s="4"/>
      <c r="O88" s="4"/>
      <c r="P88" s="4"/>
      <c r="Q88" s="4"/>
      <c r="R88" s="4"/>
      <c r="S88" s="4"/>
      <c r="AW88" s="7"/>
      <c r="AX88" s="7"/>
      <c r="AY88" s="124"/>
    </row>
    <row r="89" spans="1:51" x14ac:dyDescent="0.2">
      <c r="A89" s="15"/>
      <c r="B89" s="131"/>
      <c r="C89" s="239" t="s">
        <v>224</v>
      </c>
      <c r="D89" s="246" t="s">
        <v>225</v>
      </c>
      <c r="E89" s="4"/>
      <c r="F89" s="247"/>
      <c r="G89" s="4"/>
      <c r="H89" s="4"/>
      <c r="I89" s="4"/>
      <c r="J89" s="4"/>
      <c r="K89" s="132"/>
      <c r="L89" s="4"/>
      <c r="M89" s="4"/>
      <c r="N89" s="4"/>
      <c r="O89" s="4"/>
      <c r="P89" s="4"/>
      <c r="Q89" s="4"/>
      <c r="R89" s="4"/>
      <c r="S89" s="4"/>
      <c r="X89" s="139" t="s">
        <v>226</v>
      </c>
      <c r="AW89" s="7"/>
      <c r="AX89" s="7"/>
      <c r="AY89" s="124"/>
    </row>
    <row r="90" spans="1:51" ht="15" thickBot="1" x14ac:dyDescent="0.25">
      <c r="A90" s="15"/>
      <c r="B90" s="200"/>
      <c r="C90" s="244" t="s">
        <v>227</v>
      </c>
      <c r="D90" s="248"/>
      <c r="E90" s="234"/>
      <c r="F90" s="201"/>
      <c r="G90" s="201"/>
      <c r="H90" s="201"/>
      <c r="I90" s="201"/>
      <c r="J90" s="201"/>
      <c r="K90" s="223"/>
      <c r="L90" s="4"/>
      <c r="M90" s="4"/>
      <c r="N90" s="4"/>
      <c r="O90" s="4"/>
      <c r="P90" s="4"/>
      <c r="Q90" s="4"/>
      <c r="R90" s="4"/>
      <c r="S90" s="4"/>
      <c r="X90" s="139" t="s">
        <v>228</v>
      </c>
      <c r="AW90" s="7"/>
      <c r="AX90" s="7"/>
      <c r="AY90" s="124"/>
    </row>
    <row r="91" spans="1:51" ht="19" customHeight="1" x14ac:dyDescent="0.2">
      <c r="A91" s="15"/>
      <c r="B91" s="131"/>
      <c r="C91" s="239" t="s">
        <v>229</v>
      </c>
      <c r="D91" s="229" t="s">
        <v>230</v>
      </c>
      <c r="E91" s="4"/>
      <c r="F91" s="4"/>
      <c r="G91" s="132"/>
      <c r="H91" s="4"/>
      <c r="I91" s="4"/>
      <c r="J91" s="4"/>
      <c r="K91" s="4"/>
      <c r="L91" s="4"/>
      <c r="M91" s="4"/>
      <c r="N91" s="4"/>
      <c r="O91" s="4"/>
      <c r="P91" s="4"/>
      <c r="Q91" s="4"/>
      <c r="R91" s="4"/>
      <c r="S91" s="4"/>
      <c r="T91" s="140"/>
      <c r="U91" s="115"/>
    </row>
    <row r="92" spans="1:51" ht="19" customHeight="1" x14ac:dyDescent="0.2">
      <c r="A92" s="15"/>
      <c r="B92" s="131"/>
      <c r="C92" s="239" t="s">
        <v>231</v>
      </c>
      <c r="D92" s="229" t="s">
        <v>232</v>
      </c>
      <c r="E92" s="4"/>
      <c r="F92" s="4"/>
      <c r="G92" s="132"/>
      <c r="H92" s="4"/>
      <c r="I92" s="4"/>
      <c r="J92" s="4"/>
      <c r="K92" s="4"/>
      <c r="L92" s="249"/>
      <c r="M92" s="4"/>
      <c r="N92" s="4"/>
      <c r="O92" s="4"/>
      <c r="P92" s="4"/>
      <c r="Q92" s="4"/>
      <c r="R92" s="4"/>
      <c r="S92" s="4"/>
      <c r="T92" s="140"/>
      <c r="U92" s="115"/>
    </row>
    <row r="93" spans="1:51" ht="19" customHeight="1" x14ac:dyDescent="0.2">
      <c r="A93" s="15"/>
      <c r="B93" s="131"/>
      <c r="C93" s="239" t="s">
        <v>233</v>
      </c>
      <c r="D93" s="229"/>
      <c r="E93" s="4"/>
      <c r="F93" s="4"/>
      <c r="G93" s="132"/>
      <c r="H93" s="4"/>
      <c r="I93" s="4"/>
      <c r="J93" s="4"/>
      <c r="K93" s="4"/>
      <c r="L93" s="191"/>
      <c r="M93" s="4"/>
      <c r="N93" s="4"/>
      <c r="O93" s="4"/>
      <c r="P93" s="4"/>
      <c r="Q93" s="4"/>
      <c r="R93" s="4"/>
      <c r="S93" s="4"/>
      <c r="T93" s="140"/>
      <c r="U93" s="115"/>
    </row>
    <row r="94" spans="1:51" ht="19" customHeight="1" x14ac:dyDescent="0.2">
      <c r="A94" s="15"/>
      <c r="B94" s="131"/>
      <c r="C94" s="239" t="s">
        <v>234</v>
      </c>
      <c r="D94" s="229"/>
      <c r="E94" s="4"/>
      <c r="F94" s="4"/>
      <c r="G94" s="132"/>
      <c r="H94" s="4"/>
      <c r="I94" s="4"/>
      <c r="J94" s="4"/>
      <c r="K94" s="4"/>
      <c r="L94" s="249"/>
      <c r="M94" s="4"/>
      <c r="N94" s="4"/>
      <c r="O94" s="4"/>
      <c r="P94" s="4"/>
      <c r="Q94" s="4"/>
      <c r="R94" s="4"/>
      <c r="S94" s="4"/>
      <c r="T94" s="140"/>
      <c r="U94" s="115"/>
    </row>
    <row r="95" spans="1:51" ht="19" customHeight="1" thickBot="1" x14ac:dyDescent="0.25">
      <c r="A95" s="15"/>
      <c r="B95" s="131"/>
      <c r="C95" s="244" t="s">
        <v>235</v>
      </c>
      <c r="D95" s="229" t="s">
        <v>236</v>
      </c>
      <c r="E95" s="4"/>
      <c r="F95" s="4"/>
      <c r="G95" s="132"/>
      <c r="H95" s="4"/>
      <c r="I95" s="4"/>
      <c r="J95" s="4"/>
      <c r="K95" s="4"/>
      <c r="L95" s="4"/>
      <c r="M95" s="4"/>
      <c r="N95" s="4"/>
      <c r="O95" s="4"/>
      <c r="P95" s="4"/>
      <c r="Q95" s="4"/>
      <c r="R95" s="4"/>
      <c r="S95" s="4"/>
      <c r="T95" s="140"/>
      <c r="U95" s="115"/>
      <c r="X95" s="141">
        <f>[1]MASTER!L5*' Eq Valuation'!E70</f>
        <v>577755216.65714574</v>
      </c>
    </row>
    <row r="96" spans="1:51" ht="19" customHeight="1" x14ac:dyDescent="0.2">
      <c r="A96" s="15"/>
      <c r="B96" s="250" t="s">
        <v>237</v>
      </c>
      <c r="C96" s="245" t="s">
        <v>238</v>
      </c>
      <c r="D96" s="251"/>
      <c r="E96" s="159"/>
      <c r="F96" s="159"/>
      <c r="G96" s="159"/>
      <c r="H96" s="251"/>
      <c r="I96" s="159"/>
      <c r="J96" s="159"/>
      <c r="K96" s="159"/>
      <c r="L96" s="159"/>
      <c r="M96" s="161"/>
      <c r="N96" s="4"/>
      <c r="O96" s="4"/>
      <c r="P96" s="4"/>
      <c r="Q96" s="4"/>
      <c r="R96" s="4"/>
      <c r="S96" s="4"/>
      <c r="T96" s="140"/>
      <c r="U96" s="115"/>
      <c r="AS96" s="142"/>
    </row>
    <row r="97" spans="1:46" ht="19" customHeight="1" thickBot="1" x14ac:dyDescent="0.25">
      <c r="A97" s="15"/>
      <c r="B97" s="252" t="s">
        <v>239</v>
      </c>
      <c r="C97" s="234" t="s">
        <v>240</v>
      </c>
      <c r="D97" s="253"/>
      <c r="E97" s="201"/>
      <c r="F97" s="201"/>
      <c r="G97" s="201"/>
      <c r="H97" s="253"/>
      <c r="I97" s="201"/>
      <c r="J97" s="201"/>
      <c r="K97" s="201"/>
      <c r="L97" s="201"/>
      <c r="M97" s="223"/>
      <c r="N97" s="4"/>
      <c r="O97" s="4"/>
      <c r="P97" s="4"/>
      <c r="Q97" s="4"/>
      <c r="R97" s="4"/>
      <c r="S97" s="4"/>
      <c r="T97" s="140"/>
      <c r="U97" s="115"/>
      <c r="AS97" s="143"/>
    </row>
    <row r="98" spans="1:46" ht="19" customHeight="1" x14ac:dyDescent="0.2">
      <c r="A98" s="15"/>
      <c r="B98" s="4"/>
      <c r="C98" s="4"/>
      <c r="D98" s="4"/>
      <c r="E98" s="4"/>
      <c r="F98" s="4"/>
      <c r="G98" s="4"/>
      <c r="H98" s="4"/>
      <c r="I98" s="4"/>
      <c r="J98" s="4"/>
      <c r="K98" s="4"/>
      <c r="L98" s="4"/>
      <c r="M98" s="4"/>
      <c r="N98" s="4"/>
      <c r="O98" s="4"/>
      <c r="P98" s="4"/>
      <c r="Q98" s="4"/>
      <c r="R98" s="4"/>
      <c r="S98" s="4"/>
      <c r="T98" s="140"/>
      <c r="U98" s="115"/>
      <c r="AT98" s="144"/>
    </row>
    <row r="99" spans="1:46" ht="19" customHeight="1" x14ac:dyDescent="0.2">
      <c r="A99" s="15"/>
      <c r="B99" s="4"/>
      <c r="C99" s="4"/>
      <c r="D99" s="4"/>
      <c r="E99" s="4"/>
      <c r="F99" s="4"/>
      <c r="G99" s="4"/>
      <c r="H99" s="4"/>
      <c r="I99" s="4"/>
      <c r="J99" s="4"/>
      <c r="K99" s="4"/>
      <c r="L99" s="4"/>
      <c r="M99" s="4"/>
      <c r="N99" s="4"/>
      <c r="O99" s="4"/>
      <c r="P99" s="4"/>
      <c r="Q99" s="4"/>
      <c r="R99" s="4"/>
      <c r="S99" s="4"/>
      <c r="T99" s="140"/>
      <c r="U99" s="115"/>
    </row>
    <row r="100" spans="1:46" ht="19" customHeight="1" x14ac:dyDescent="0.2">
      <c r="B100" s="4"/>
      <c r="C100" s="4"/>
      <c r="D100" s="254" t="s">
        <v>241</v>
      </c>
      <c r="E100" s="4"/>
      <c r="F100" s="4"/>
      <c r="G100" s="4"/>
      <c r="H100" s="4"/>
      <c r="I100" s="4"/>
      <c r="J100" s="4"/>
      <c r="K100" s="4"/>
      <c r="L100" s="4"/>
      <c r="M100" s="4"/>
      <c r="N100" s="4"/>
      <c r="O100" s="4"/>
      <c r="P100" s="4"/>
      <c r="Q100" s="4"/>
      <c r="R100" s="4"/>
      <c r="S100" s="4"/>
      <c r="T100" s="140"/>
      <c r="U100" s="115"/>
    </row>
    <row r="101" spans="1:46" ht="19" customHeight="1" x14ac:dyDescent="0.2">
      <c r="B101" s="4"/>
      <c r="C101" s="162" t="s">
        <v>242</v>
      </c>
      <c r="D101" s="255">
        <f>D8</f>
        <v>11725000</v>
      </c>
      <c r="E101" s="4" t="s">
        <v>243</v>
      </c>
      <c r="F101" s="4"/>
      <c r="G101" s="146"/>
      <c r="H101" s="4"/>
      <c r="I101" s="256"/>
      <c r="J101" s="4"/>
      <c r="K101" s="4"/>
      <c r="L101" s="4"/>
      <c r="M101" s="4"/>
      <c r="N101" s="4"/>
      <c r="O101" s="4"/>
      <c r="P101" s="4"/>
      <c r="Q101" s="4"/>
      <c r="R101" s="4"/>
      <c r="S101" s="4"/>
      <c r="T101" s="140"/>
      <c r="U101" s="115"/>
    </row>
    <row r="102" spans="1:46" ht="19" customHeight="1" x14ac:dyDescent="0.2">
      <c r="B102" s="4"/>
      <c r="C102" s="162" t="s">
        <v>244</v>
      </c>
      <c r="D102" s="171">
        <f>D4</f>
        <v>10000000</v>
      </c>
      <c r="E102" s="257" t="s">
        <v>245</v>
      </c>
      <c r="F102" s="258" t="s">
        <v>246</v>
      </c>
      <c r="G102" s="259"/>
      <c r="H102" s="258" t="s">
        <v>247</v>
      </c>
      <c r="I102" s="258"/>
      <c r="J102" s="260">
        <f>D104</f>
        <v>496450327.02512133</v>
      </c>
      <c r="K102" s="257" t="s">
        <v>248</v>
      </c>
      <c r="L102" s="4"/>
      <c r="M102" s="4"/>
      <c r="N102" s="4"/>
      <c r="O102" s="4"/>
      <c r="P102" s="4"/>
      <c r="Q102" s="4"/>
      <c r="R102" s="4"/>
      <c r="S102" s="4"/>
      <c r="T102" s="140"/>
      <c r="U102" s="115"/>
    </row>
    <row r="103" spans="1:46" ht="19" customHeight="1" x14ac:dyDescent="0.2">
      <c r="B103" s="4"/>
      <c r="C103" s="162" t="s">
        <v>249</v>
      </c>
      <c r="D103" s="261">
        <f>D8-D4</f>
        <v>1725000</v>
      </c>
      <c r="E103" s="4"/>
      <c r="F103" s="262" t="s">
        <v>250</v>
      </c>
      <c r="G103" s="263" t="s">
        <v>251</v>
      </c>
      <c r="H103" s="262" t="s">
        <v>250</v>
      </c>
      <c r="I103" s="264" t="s">
        <v>251</v>
      </c>
      <c r="J103" s="262" t="s">
        <v>252</v>
      </c>
      <c r="K103" s="265" t="s">
        <v>253</v>
      </c>
      <c r="L103" s="4"/>
      <c r="M103" s="4"/>
      <c r="N103" s="4"/>
      <c r="O103" s="4"/>
      <c r="P103" s="4"/>
      <c r="Q103" s="4"/>
      <c r="R103" s="4"/>
      <c r="S103" s="4"/>
      <c r="T103" s="140"/>
      <c r="U103" s="115"/>
      <c r="AJ103" s="138"/>
    </row>
    <row r="104" spans="1:46" ht="19" customHeight="1" thickBot="1" x14ac:dyDescent="0.25">
      <c r="B104" s="4"/>
      <c r="C104" s="162" t="s">
        <v>254</v>
      </c>
      <c r="D104" s="266">
        <f>F53</f>
        <v>496450327.02512133</v>
      </c>
      <c r="E104" s="162" t="s">
        <v>244</v>
      </c>
      <c r="F104" s="171">
        <f>D101</f>
        <v>11725000</v>
      </c>
      <c r="G104" s="267">
        <f>F104/F107</f>
        <v>1</v>
      </c>
      <c r="H104" s="171">
        <f>D101</f>
        <v>11725000</v>
      </c>
      <c r="I104" s="268">
        <f>H104/H107</f>
        <v>0.96933728866590108</v>
      </c>
      <c r="J104" s="215">
        <f>J107-(J105+J106)</f>
        <v>496450327.02512133</v>
      </c>
      <c r="K104" s="4"/>
      <c r="L104" s="4"/>
      <c r="M104" s="4"/>
      <c r="N104" s="4"/>
      <c r="O104" s="4"/>
      <c r="P104" s="4"/>
      <c r="Q104" s="4"/>
      <c r="R104" s="4"/>
      <c r="S104" s="4"/>
      <c r="U104" s="115"/>
    </row>
    <row r="105" spans="1:46" ht="19" customHeight="1" thickBot="1" x14ac:dyDescent="0.25">
      <c r="B105" s="4"/>
      <c r="C105" s="162" t="s">
        <v>255</v>
      </c>
      <c r="D105" s="269">
        <f>[1]MASTER!D7</f>
        <v>5259064.25</v>
      </c>
      <c r="E105" s="162" t="s">
        <v>256</v>
      </c>
      <c r="F105" s="4">
        <v>0</v>
      </c>
      <c r="G105" s="267">
        <f>F105/F107</f>
        <v>0</v>
      </c>
      <c r="H105" s="255">
        <f>D105/K105</f>
        <v>155258.55502188479</v>
      </c>
      <c r="I105" s="178">
        <f>H105/H107</f>
        <v>1.2835642368196112E-2</v>
      </c>
      <c r="J105" s="266">
        <f>D105/(1-D106)</f>
        <v>6573830.3125</v>
      </c>
      <c r="K105" s="270">
        <f>K106*(1-D106)</f>
        <v>33.87294342175668</v>
      </c>
      <c r="L105" s="271">
        <f>J107/H107</f>
        <v>42.341179277195856</v>
      </c>
      <c r="M105" s="272" t="s">
        <v>257</v>
      </c>
      <c r="N105" s="4"/>
      <c r="O105" s="4"/>
      <c r="P105" s="4"/>
      <c r="Q105" s="4"/>
      <c r="R105" s="4"/>
      <c r="S105" s="4"/>
      <c r="U105" s="115"/>
    </row>
    <row r="106" spans="1:46" ht="19" customHeight="1" x14ac:dyDescent="0.2">
      <c r="B106" s="4"/>
      <c r="C106" s="162" t="s">
        <v>258</v>
      </c>
      <c r="D106" s="218">
        <v>0.2</v>
      </c>
      <c r="E106" s="162" t="s">
        <v>259</v>
      </c>
      <c r="F106" s="206">
        <v>0</v>
      </c>
      <c r="G106" s="273">
        <f>F106/F107</f>
        <v>0</v>
      </c>
      <c r="H106" s="274">
        <f>D107/K106</f>
        <v>215634.31642342938</v>
      </c>
      <c r="I106" s="275">
        <f>H106/H107</f>
        <v>1.7827068965902942E-2</v>
      </c>
      <c r="J106" s="216">
        <f>H106*K106</f>
        <v>9130211.25</v>
      </c>
      <c r="K106" s="276">
        <f>D104/D101</f>
        <v>42.341179277195849</v>
      </c>
      <c r="L106" s="4" t="s">
        <v>260</v>
      </c>
      <c r="M106" s="4"/>
      <c r="N106" s="4"/>
      <c r="O106" s="4"/>
      <c r="P106" s="4"/>
      <c r="Q106" s="4"/>
      <c r="R106" s="4"/>
      <c r="S106" s="4"/>
      <c r="U106" s="115"/>
      <c r="W106" s="145"/>
    </row>
    <row r="107" spans="1:46" ht="19" customHeight="1" x14ac:dyDescent="0.2">
      <c r="B107" s="4"/>
      <c r="C107" s="162" t="s">
        <v>261</v>
      </c>
      <c r="D107" s="266">
        <f>D17</f>
        <v>9130211.25</v>
      </c>
      <c r="E107" s="277" t="s">
        <v>262</v>
      </c>
      <c r="F107" s="278">
        <f>SUM(F104:F106)</f>
        <v>11725000</v>
      </c>
      <c r="G107" s="279">
        <f>SUM(G104:G106)</f>
        <v>1</v>
      </c>
      <c r="H107" s="278">
        <f>SUM(H104:H106)</f>
        <v>12095892.871445313</v>
      </c>
      <c r="I107" s="280">
        <f>SUM(I104:I106)</f>
        <v>1.0000000000000002</v>
      </c>
      <c r="J107" s="281">
        <f>J102+J105+J106</f>
        <v>512154368.58762133</v>
      </c>
      <c r="K107" s="257" t="s">
        <v>263</v>
      </c>
      <c r="L107" s="4"/>
      <c r="M107" s="4"/>
      <c r="N107" s="4"/>
      <c r="O107" s="4"/>
      <c r="P107" s="4"/>
      <c r="Q107" s="4"/>
      <c r="R107" s="4"/>
      <c r="S107" s="4"/>
      <c r="U107" s="115"/>
      <c r="W107" s="110"/>
    </row>
    <row r="108" spans="1:46" ht="19" customHeight="1" x14ac:dyDescent="0.2">
      <c r="B108" s="4"/>
      <c r="C108" s="4"/>
      <c r="D108" s="4"/>
      <c r="E108" s="4"/>
      <c r="F108" s="4"/>
      <c r="G108" s="146"/>
      <c r="H108" s="4"/>
      <c r="I108" s="4"/>
      <c r="J108" s="4"/>
      <c r="K108" s="4"/>
      <c r="L108" s="4"/>
      <c r="M108" s="4"/>
      <c r="N108" s="4"/>
      <c r="O108" s="4"/>
      <c r="P108" s="4"/>
      <c r="Q108" s="4"/>
      <c r="R108" s="4"/>
      <c r="S108" s="4"/>
      <c r="U108" s="115"/>
      <c r="W108" s="145"/>
      <c r="AJ108" s="147"/>
      <c r="AK108" s="147"/>
      <c r="AL108" s="147"/>
      <c r="AM108" s="147"/>
      <c r="AN108" s="147"/>
    </row>
    <row r="109" spans="1:46" ht="19" customHeight="1" x14ac:dyDescent="0.2">
      <c r="B109" s="4"/>
      <c r="C109" s="4"/>
      <c r="D109" s="254" t="s">
        <v>264</v>
      </c>
      <c r="E109" s="4"/>
      <c r="F109" s="4"/>
      <c r="G109" s="146"/>
      <c r="H109" s="4"/>
      <c r="I109" s="256"/>
      <c r="J109" s="4"/>
      <c r="K109" s="4"/>
      <c r="L109" s="4"/>
      <c r="M109" s="4"/>
      <c r="N109" s="4"/>
      <c r="O109" s="4"/>
      <c r="P109" s="4"/>
      <c r="Q109" s="4"/>
      <c r="R109" s="4"/>
      <c r="S109" s="4"/>
      <c r="U109" s="115"/>
      <c r="AJ109" s="148"/>
      <c r="AK109" s="148"/>
    </row>
    <row r="110" spans="1:46" ht="19" customHeight="1" x14ac:dyDescent="0.2">
      <c r="B110" s="4"/>
      <c r="C110" s="4"/>
      <c r="D110" s="254"/>
      <c r="E110" s="4" t="s">
        <v>265</v>
      </c>
      <c r="F110" s="4"/>
      <c r="G110" s="146"/>
      <c r="H110" s="4"/>
      <c r="I110" s="256"/>
      <c r="J110" s="4"/>
      <c r="K110" s="4"/>
      <c r="L110" s="4"/>
      <c r="M110" s="282" t="s">
        <v>266</v>
      </c>
      <c r="N110" s="4"/>
      <c r="O110" s="4"/>
      <c r="P110" s="4"/>
      <c r="Q110" s="4"/>
      <c r="R110" s="4"/>
      <c r="S110" s="4"/>
      <c r="U110" s="115"/>
    </row>
    <row r="111" spans="1:46" ht="19" customHeight="1" x14ac:dyDescent="0.2">
      <c r="B111" s="4"/>
      <c r="C111" s="4"/>
      <c r="D111" s="4"/>
      <c r="E111" s="257" t="s">
        <v>245</v>
      </c>
      <c r="F111" s="258" t="s">
        <v>246</v>
      </c>
      <c r="G111" s="259"/>
      <c r="H111" s="258" t="s">
        <v>247</v>
      </c>
      <c r="I111" s="259"/>
      <c r="J111" s="260">
        <f>D104</f>
        <v>496450327.02512133</v>
      </c>
      <c r="K111" s="257" t="s">
        <v>267</v>
      </c>
      <c r="L111" s="4"/>
      <c r="M111" s="283" t="s">
        <v>268</v>
      </c>
      <c r="N111" s="4"/>
      <c r="O111" s="4"/>
      <c r="P111" s="4"/>
      <c r="Q111" s="4"/>
      <c r="R111" s="4"/>
      <c r="S111" s="4"/>
      <c r="U111" s="115"/>
    </row>
    <row r="112" spans="1:46" ht="19" customHeight="1" x14ac:dyDescent="0.2">
      <c r="B112" s="4"/>
      <c r="C112" s="4"/>
      <c r="D112" s="4"/>
      <c r="E112" s="4"/>
      <c r="F112" s="262" t="s">
        <v>250</v>
      </c>
      <c r="G112" s="263" t="s">
        <v>251</v>
      </c>
      <c r="H112" s="262" t="s">
        <v>250</v>
      </c>
      <c r="I112" s="284" t="s">
        <v>251</v>
      </c>
      <c r="J112" s="262" t="s">
        <v>252</v>
      </c>
      <c r="K112" s="265" t="s">
        <v>253</v>
      </c>
      <c r="L112" s="4"/>
      <c r="M112" s="282" t="s">
        <v>269</v>
      </c>
      <c r="N112" s="4"/>
      <c r="O112" s="4"/>
      <c r="P112" s="4"/>
      <c r="Q112" s="4"/>
      <c r="R112" s="4"/>
      <c r="S112" s="4"/>
      <c r="U112" s="115"/>
    </row>
    <row r="113" spans="2:35" ht="19" customHeight="1" x14ac:dyDescent="0.2">
      <c r="B113" s="4"/>
      <c r="C113" s="4"/>
      <c r="D113" s="4"/>
      <c r="E113" s="162" t="s">
        <v>244</v>
      </c>
      <c r="F113" s="171">
        <f>D102</f>
        <v>10000000</v>
      </c>
      <c r="G113" s="285">
        <f>F113/F117</f>
        <v>1</v>
      </c>
      <c r="H113" s="171">
        <f>I113*H119</f>
        <v>9354545.3304762077</v>
      </c>
      <c r="I113" s="286">
        <f>I117-I116-I115-I114</f>
        <v>0.59194626989147237</v>
      </c>
      <c r="J113" s="215"/>
      <c r="K113" s="287"/>
      <c r="L113" s="4"/>
      <c r="M113" s="282" t="s">
        <v>270</v>
      </c>
      <c r="N113" s="4"/>
      <c r="O113" s="4"/>
      <c r="P113" s="4"/>
      <c r="Q113" s="4"/>
      <c r="R113" s="4"/>
      <c r="S113" s="4"/>
      <c r="U113" s="115"/>
    </row>
    <row r="114" spans="2:35" ht="19" customHeight="1" x14ac:dyDescent="0.2">
      <c r="B114" s="4"/>
      <c r="C114" s="4"/>
      <c r="D114" s="4"/>
      <c r="E114" s="162" t="s">
        <v>249</v>
      </c>
      <c r="F114" s="171"/>
      <c r="G114" s="285">
        <f>F114/F117</f>
        <v>0</v>
      </c>
      <c r="H114" s="171">
        <f>I114*H119</f>
        <v>2370454.6695237914</v>
      </c>
      <c r="I114" s="288">
        <v>0.15</v>
      </c>
      <c r="J114" s="266">
        <f>I114*J118</f>
        <v>9128355.6854005642</v>
      </c>
      <c r="K114" s="289"/>
      <c r="L114" s="4"/>
      <c r="M114" s="4" t="s">
        <v>271</v>
      </c>
      <c r="N114" s="4"/>
      <c r="O114" s="4"/>
      <c r="P114" s="4"/>
      <c r="Q114" s="4"/>
      <c r="R114" s="4"/>
      <c r="S114" s="4"/>
      <c r="U114" s="150"/>
    </row>
    <row r="115" spans="2:35" ht="16" customHeight="1" x14ac:dyDescent="0.2">
      <c r="B115" s="4"/>
      <c r="C115" s="4"/>
      <c r="D115" s="4"/>
      <c r="E115" s="162" t="s">
        <v>256</v>
      </c>
      <c r="F115" s="4">
        <v>0</v>
      </c>
      <c r="G115" s="267">
        <f>F115/F117</f>
        <v>0</v>
      </c>
      <c r="H115" s="255">
        <f>I115*H119</f>
        <v>1707094.606955915</v>
      </c>
      <c r="I115" s="290">
        <f>J115/J118</f>
        <v>0.10802323888979022</v>
      </c>
      <c r="J115" s="266">
        <f>D105/(1-D106)</f>
        <v>6573830.3125</v>
      </c>
      <c r="K115" s="291"/>
      <c r="L115" s="4"/>
      <c r="M115" s="4" t="s">
        <v>272</v>
      </c>
      <c r="N115" s="4"/>
      <c r="O115" s="4"/>
      <c r="P115" s="4"/>
      <c r="Q115" s="4"/>
      <c r="R115" s="4"/>
      <c r="S115" s="4"/>
    </row>
    <row r="116" spans="2:35" x14ac:dyDescent="0.2">
      <c r="B116" s="4"/>
      <c r="C116" s="4"/>
      <c r="D116" s="4"/>
      <c r="E116" s="162" t="s">
        <v>259</v>
      </c>
      <c r="F116" s="206">
        <v>0</v>
      </c>
      <c r="G116" s="273">
        <f>F116/F117</f>
        <v>0</v>
      </c>
      <c r="H116" s="274">
        <f>I116*H119</f>
        <v>2370936.5232026931</v>
      </c>
      <c r="I116" s="292">
        <f>J116/J118</f>
        <v>0.15003049121873729</v>
      </c>
      <c r="J116" s="216">
        <f>D107</f>
        <v>9130211.25</v>
      </c>
      <c r="K116" s="291">
        <f>J118/H117</f>
        <v>3.8508881029285371</v>
      </c>
      <c r="L116" s="4"/>
      <c r="M116" s="4"/>
      <c r="N116" s="4"/>
      <c r="O116" s="4"/>
      <c r="P116" s="4"/>
      <c r="Q116" s="4"/>
      <c r="R116" s="4"/>
      <c r="S116" s="4"/>
    </row>
    <row r="117" spans="2:35" x14ac:dyDescent="0.2">
      <c r="B117" s="4"/>
      <c r="C117" s="4"/>
      <c r="D117" s="4"/>
      <c r="E117" s="277" t="s">
        <v>262</v>
      </c>
      <c r="F117" s="278">
        <f>SUM(F113:F116)</f>
        <v>10000000</v>
      </c>
      <c r="G117" s="279">
        <v>1</v>
      </c>
      <c r="H117" s="278">
        <f>H113/I113</f>
        <v>15803031.130158609</v>
      </c>
      <c r="I117" s="279">
        <v>1</v>
      </c>
      <c r="J117" s="281">
        <f>J111+J115+J116</f>
        <v>512154368.58762133</v>
      </c>
      <c r="K117" s="280"/>
      <c r="L117" s="4"/>
      <c r="M117" s="4"/>
      <c r="N117" s="4"/>
      <c r="O117" s="4"/>
      <c r="P117" s="4"/>
      <c r="Q117" s="4"/>
      <c r="R117" s="4"/>
      <c r="S117" s="4"/>
      <c r="AD117" s="138"/>
    </row>
    <row r="118" spans="2:35" x14ac:dyDescent="0.2">
      <c r="B118" s="4"/>
      <c r="C118" s="4"/>
      <c r="D118" s="4"/>
      <c r="E118" s="293" t="s">
        <v>273</v>
      </c>
      <c r="F118" s="278"/>
      <c r="G118" s="294">
        <f>SUM(G113:G116)</f>
        <v>1</v>
      </c>
      <c r="H118" s="278">
        <f>SUM(H113:H116)</f>
        <v>15803031.130158609</v>
      </c>
      <c r="I118" s="279">
        <f>SUM(I113:I116)</f>
        <v>1</v>
      </c>
      <c r="J118" s="295">
        <f>[1]MASTER!R8</f>
        <v>60855704.5693371</v>
      </c>
      <c r="K118" s="257" t="s">
        <v>274</v>
      </c>
      <c r="L118" s="4"/>
      <c r="M118" s="4"/>
      <c r="N118" s="4"/>
      <c r="O118" s="4"/>
      <c r="P118" s="4"/>
      <c r="Q118" s="4"/>
      <c r="R118" s="4"/>
      <c r="S118" s="4"/>
      <c r="AD118" s="138"/>
    </row>
    <row r="119" spans="2:35" x14ac:dyDescent="0.2">
      <c r="B119" s="4"/>
      <c r="C119" s="4"/>
      <c r="D119" s="4"/>
      <c r="E119" s="277"/>
      <c r="F119" s="278"/>
      <c r="G119" s="293"/>
      <c r="H119" s="278">
        <f>[1]MASTER!K15</f>
        <v>15803031.130158609</v>
      </c>
      <c r="I119" s="296"/>
      <c r="J119" s="281"/>
      <c r="K119" s="254"/>
      <c r="L119" s="4"/>
      <c r="M119" s="4"/>
      <c r="N119" s="4"/>
      <c r="O119" s="4"/>
      <c r="P119" s="4"/>
      <c r="Q119" s="4"/>
      <c r="R119" s="4"/>
      <c r="S119" s="4"/>
      <c r="AD119" s="138"/>
      <c r="AE119" s="147"/>
      <c r="AF119" s="147"/>
      <c r="AH119" s="147"/>
      <c r="AI119" s="147"/>
    </row>
    <row r="120" spans="2:35" x14ac:dyDescent="0.2">
      <c r="B120" s="4"/>
      <c r="C120" s="4"/>
      <c r="D120" s="4"/>
      <c r="E120" s="277"/>
      <c r="F120" s="278"/>
      <c r="G120" s="293"/>
      <c r="H120" s="278">
        <f>SUM(H113:H116)</f>
        <v>15803031.130158609</v>
      </c>
      <c r="I120" s="297"/>
      <c r="J120" s="281"/>
      <c r="K120" s="254"/>
      <c r="L120" s="4"/>
      <c r="M120" s="4"/>
      <c r="N120" s="4"/>
      <c r="O120" s="4"/>
      <c r="P120" s="4"/>
      <c r="Q120" s="4"/>
      <c r="R120" s="4"/>
      <c r="S120" s="4"/>
      <c r="AE120" s="147"/>
      <c r="AF120" s="148"/>
      <c r="AH120" s="148"/>
      <c r="AI120" s="148"/>
    </row>
    <row r="121" spans="2:35" x14ac:dyDescent="0.2">
      <c r="B121" s="4"/>
      <c r="C121" s="4"/>
      <c r="D121" s="4"/>
      <c r="E121" s="277"/>
      <c r="F121" s="278"/>
      <c r="G121" s="293"/>
      <c r="H121" s="278"/>
      <c r="I121" s="296"/>
      <c r="J121" s="281"/>
      <c r="K121" s="254"/>
      <c r="L121" s="4"/>
      <c r="M121" s="4"/>
      <c r="N121" s="4"/>
      <c r="O121" s="4"/>
      <c r="P121" s="4"/>
      <c r="Q121" s="4"/>
      <c r="R121" s="4"/>
      <c r="S121" s="4"/>
    </row>
    <row r="122" spans="2:35" x14ac:dyDescent="0.2">
      <c r="B122" s="298"/>
      <c r="C122" s="4"/>
      <c r="D122" s="4"/>
      <c r="E122" s="4"/>
      <c r="F122" s="4"/>
      <c r="G122" s="4"/>
      <c r="H122" s="4"/>
      <c r="I122" s="4"/>
      <c r="J122" s="4"/>
      <c r="K122" s="4"/>
      <c r="L122" s="4"/>
      <c r="M122" s="4"/>
      <c r="N122" s="4"/>
      <c r="O122" s="4"/>
      <c r="P122" s="4"/>
      <c r="Q122" s="4"/>
      <c r="R122" s="208"/>
      <c r="S122" s="4"/>
    </row>
    <row r="123" spans="2:35" x14ac:dyDescent="0.2">
      <c r="B123" s="4"/>
      <c r="C123" s="4"/>
      <c r="D123" s="254" t="s">
        <v>275</v>
      </c>
      <c r="E123" s="4"/>
      <c r="F123" s="4"/>
      <c r="G123" s="4"/>
      <c r="H123" s="4"/>
      <c r="I123" s="4"/>
      <c r="J123" s="4"/>
      <c r="K123" s="4"/>
      <c r="L123" s="4"/>
      <c r="M123" s="4"/>
      <c r="N123" s="4"/>
      <c r="O123" s="4"/>
      <c r="P123" s="4"/>
      <c r="Q123" s="4"/>
      <c r="R123" s="4"/>
      <c r="S123" s="4"/>
    </row>
    <row r="124" spans="2:35" x14ac:dyDescent="0.2">
      <c r="B124" s="4"/>
      <c r="C124" s="4"/>
      <c r="D124" s="254"/>
      <c r="E124" s="4" t="s">
        <v>276</v>
      </c>
      <c r="F124" s="4"/>
      <c r="G124" s="4"/>
      <c r="H124" s="4"/>
      <c r="I124" s="4"/>
      <c r="J124" s="4"/>
      <c r="K124" s="4"/>
      <c r="L124" s="4"/>
      <c r="M124" s="4"/>
      <c r="N124" s="4"/>
      <c r="O124" s="4"/>
      <c r="P124" s="4"/>
      <c r="Q124" s="4"/>
      <c r="R124" s="4"/>
      <c r="S124" s="4"/>
      <c r="W124" s="151"/>
    </row>
    <row r="125" spans="2:35" x14ac:dyDescent="0.2">
      <c r="B125" s="4"/>
      <c r="C125" s="4"/>
      <c r="D125" s="254"/>
      <c r="E125" s="4"/>
      <c r="F125" s="258" t="s">
        <v>246</v>
      </c>
      <c r="G125" s="259"/>
      <c r="H125" s="258" t="s">
        <v>247</v>
      </c>
      <c r="I125" s="259"/>
      <c r="J125" s="260">
        <f>D104</f>
        <v>496450327.02512133</v>
      </c>
      <c r="K125" s="257" t="s">
        <v>267</v>
      </c>
      <c r="L125" s="4"/>
      <c r="M125" s="4" t="s">
        <v>277</v>
      </c>
      <c r="N125" s="4"/>
      <c r="O125" s="4"/>
      <c r="P125" s="4"/>
      <c r="Q125" s="4"/>
      <c r="R125" s="4"/>
      <c r="S125" s="4"/>
      <c r="W125" s="151"/>
    </row>
    <row r="126" spans="2:35" x14ac:dyDescent="0.2">
      <c r="B126" s="4"/>
      <c r="C126" s="4"/>
      <c r="D126" s="4"/>
      <c r="E126" s="4"/>
      <c r="F126" s="262" t="s">
        <v>250</v>
      </c>
      <c r="G126" s="263" t="s">
        <v>251</v>
      </c>
      <c r="H126" s="262" t="s">
        <v>250</v>
      </c>
      <c r="I126" s="284" t="s">
        <v>251</v>
      </c>
      <c r="J126" s="262" t="s">
        <v>252</v>
      </c>
      <c r="K126" s="265" t="s">
        <v>253</v>
      </c>
      <c r="L126" s="4"/>
      <c r="M126" s="4" t="s">
        <v>278</v>
      </c>
      <c r="N126" s="4"/>
      <c r="O126" s="4"/>
      <c r="P126" s="4"/>
      <c r="Q126" s="4"/>
      <c r="R126" s="4"/>
      <c r="S126" s="4"/>
      <c r="W126" s="151"/>
    </row>
    <row r="127" spans="2:35" x14ac:dyDescent="0.2">
      <c r="B127" s="4"/>
      <c r="C127" s="4"/>
      <c r="D127" s="4"/>
      <c r="E127" s="162" t="s">
        <v>244</v>
      </c>
      <c r="F127" s="171">
        <f>D102</f>
        <v>10000000</v>
      </c>
      <c r="G127" s="267">
        <f>F127/F131</f>
        <v>0.85287846481876328</v>
      </c>
      <c r="H127" s="171">
        <f>D101</f>
        <v>11725000</v>
      </c>
      <c r="I127" s="286">
        <f>I131-I130-I129</f>
        <v>0.14261696875000007</v>
      </c>
      <c r="J127" s="215">
        <f>J131-J130-J129</f>
        <v>496450327.02512133</v>
      </c>
      <c r="K127" s="287"/>
      <c r="L127" s="4"/>
      <c r="M127" s="4" t="s">
        <v>279</v>
      </c>
      <c r="N127" s="4"/>
      <c r="O127" s="4"/>
      <c r="P127" s="4"/>
      <c r="Q127" s="4"/>
      <c r="R127" s="4"/>
      <c r="S127" s="4"/>
      <c r="W127" s="151"/>
    </row>
    <row r="128" spans="2:35" x14ac:dyDescent="0.2">
      <c r="B128" s="4"/>
      <c r="C128" s="4"/>
      <c r="D128" s="4"/>
      <c r="E128" s="162" t="s">
        <v>26</v>
      </c>
      <c r="F128" s="299">
        <f>D103</f>
        <v>1725000</v>
      </c>
      <c r="G128" s="300">
        <f>F128/F131</f>
        <v>0.14712153518123666</v>
      </c>
      <c r="H128" s="4"/>
      <c r="I128" s="4"/>
      <c r="J128" s="4"/>
      <c r="K128" s="4"/>
      <c r="L128" s="4"/>
      <c r="M128" s="4"/>
      <c r="N128" s="4"/>
      <c r="O128" s="4"/>
      <c r="P128" s="4"/>
      <c r="Q128" s="4"/>
      <c r="R128" s="4"/>
      <c r="S128" s="4"/>
      <c r="W128" s="151"/>
      <c r="AE128" s="124"/>
    </row>
    <row r="129" spans="2:26" x14ac:dyDescent="0.2">
      <c r="B129" s="4"/>
      <c r="C129" s="4"/>
      <c r="D129" s="4"/>
      <c r="E129" s="162" t="s">
        <v>256</v>
      </c>
      <c r="F129" s="4">
        <v>0</v>
      </c>
      <c r="G129" s="267">
        <f>F129/F131</f>
        <v>0</v>
      </c>
      <c r="H129" s="255">
        <f>I129*H131</f>
        <v>54045574.723423272</v>
      </c>
      <c r="I129" s="290">
        <f>J129/J132</f>
        <v>0.65738303124999997</v>
      </c>
      <c r="J129" s="266">
        <f>D105/(1-D106)</f>
        <v>6573830.3125</v>
      </c>
      <c r="K129" s="291">
        <f>K130*(1-D106)</f>
        <v>9.7307953091684482E-2</v>
      </c>
      <c r="L129" s="4"/>
      <c r="M129" s="4"/>
      <c r="N129" s="4"/>
      <c r="O129" s="4"/>
      <c r="P129" s="4"/>
      <c r="Q129" s="4"/>
      <c r="R129" s="4"/>
      <c r="S129" s="4"/>
      <c r="W129" s="151"/>
    </row>
    <row r="130" spans="2:26" x14ac:dyDescent="0.2">
      <c r="B130" s="4"/>
      <c r="C130" s="4"/>
      <c r="D130" s="4"/>
      <c r="E130" s="162" t="s">
        <v>259</v>
      </c>
      <c r="F130" s="206">
        <v>0</v>
      </c>
      <c r="G130" s="273">
        <f>F130/F131</f>
        <v>0</v>
      </c>
      <c r="H130" s="274">
        <f>I130*H131</f>
        <v>16442643.680855818</v>
      </c>
      <c r="I130" s="292">
        <v>0.2</v>
      </c>
      <c r="J130" s="216">
        <f>D107</f>
        <v>9130211.25</v>
      </c>
      <c r="K130" s="291">
        <f>J132/H131</f>
        <v>0.12163494136460559</v>
      </c>
      <c r="L130" s="4" t="s">
        <v>280</v>
      </c>
      <c r="M130" s="4"/>
      <c r="N130" s="4"/>
      <c r="O130" s="4"/>
      <c r="P130" s="4"/>
      <c r="Q130" s="4"/>
      <c r="R130" s="4"/>
      <c r="S130" s="4"/>
      <c r="W130" s="151"/>
    </row>
    <row r="131" spans="2:26" x14ac:dyDescent="0.2">
      <c r="B131" s="4"/>
      <c r="C131" s="4"/>
      <c r="D131" s="4"/>
      <c r="E131" s="277" t="s">
        <v>262</v>
      </c>
      <c r="F131" s="278">
        <f>SUM(F127:F130)</f>
        <v>11725000</v>
      </c>
      <c r="G131" s="279">
        <v>1</v>
      </c>
      <c r="H131" s="278">
        <f>H127/I127</f>
        <v>82213218.404279083</v>
      </c>
      <c r="I131" s="279">
        <v>1</v>
      </c>
      <c r="J131" s="281">
        <f>J125+J129+J130</f>
        <v>512154368.58762133</v>
      </c>
      <c r="K131" s="280"/>
      <c r="L131" s="4"/>
      <c r="M131" s="4"/>
      <c r="N131" s="4"/>
      <c r="O131" s="4"/>
      <c r="P131" s="4"/>
      <c r="Q131" s="4"/>
      <c r="R131" s="4"/>
      <c r="S131" s="4"/>
      <c r="W131" s="151"/>
    </row>
    <row r="132" spans="2:26" x14ac:dyDescent="0.2">
      <c r="B132" s="4"/>
      <c r="C132" s="4"/>
      <c r="D132" s="4"/>
      <c r="E132" s="277"/>
      <c r="F132" s="278"/>
      <c r="G132" s="293" t="s">
        <v>273</v>
      </c>
      <c r="H132" s="278">
        <f>SUM(H127:H130)</f>
        <v>82213218.404279083</v>
      </c>
      <c r="I132" s="279">
        <f>SUM(I127:I130)</f>
        <v>1</v>
      </c>
      <c r="J132" s="295">
        <v>10000000</v>
      </c>
      <c r="K132" s="257" t="s">
        <v>281</v>
      </c>
      <c r="L132" s="4"/>
      <c r="M132" s="4"/>
      <c r="N132" s="4"/>
      <c r="O132" s="4"/>
      <c r="P132" s="4"/>
      <c r="Q132" s="4"/>
      <c r="R132" s="4"/>
      <c r="S132" s="4"/>
      <c r="W132" s="151"/>
    </row>
    <row r="133" spans="2:26" ht="15" thickBot="1" x14ac:dyDescent="0.25">
      <c r="B133" s="4"/>
      <c r="C133" s="4"/>
      <c r="D133" s="4"/>
      <c r="E133" s="4"/>
      <c r="F133" s="4"/>
      <c r="G133" s="4"/>
      <c r="H133" s="4"/>
      <c r="I133" s="4"/>
      <c r="J133" s="4"/>
      <c r="K133" s="4"/>
      <c r="L133" s="4"/>
      <c r="M133" s="4"/>
      <c r="N133" s="4"/>
      <c r="O133" s="4"/>
      <c r="P133" s="4"/>
      <c r="Q133" s="4"/>
      <c r="R133" s="4"/>
      <c r="S133" s="4"/>
    </row>
    <row r="134" spans="2:26" ht="15" thickBot="1" x14ac:dyDescent="0.25">
      <c r="B134" s="4"/>
      <c r="C134" s="4"/>
      <c r="D134" s="4"/>
      <c r="E134" s="4"/>
      <c r="F134" s="4"/>
      <c r="G134" s="4"/>
      <c r="H134" s="4"/>
      <c r="I134" s="4"/>
      <c r="J134" s="301" t="s">
        <v>282</v>
      </c>
      <c r="K134" s="160" t="s">
        <v>57</v>
      </c>
      <c r="L134" s="302"/>
      <c r="M134" s="303">
        <v>500000</v>
      </c>
      <c r="N134" s="301" t="s">
        <v>283</v>
      </c>
      <c r="O134" s="159"/>
      <c r="P134" s="159"/>
      <c r="Q134" s="159"/>
      <c r="R134" s="161"/>
      <c r="S134" s="4"/>
    </row>
    <row r="135" spans="2:26" x14ac:dyDescent="0.2">
      <c r="B135" s="4"/>
      <c r="C135" s="4"/>
      <c r="D135" s="4"/>
      <c r="E135" s="4"/>
      <c r="F135" s="4"/>
      <c r="G135" s="4"/>
      <c r="H135" s="4"/>
      <c r="I135" s="4"/>
      <c r="J135" s="304" t="s">
        <v>284</v>
      </c>
      <c r="K135" s="208">
        <v>4000000</v>
      </c>
      <c r="L135" s="146"/>
      <c r="M135" s="305">
        <v>5000000</v>
      </c>
      <c r="N135" s="235"/>
      <c r="O135" s="306" t="s">
        <v>285</v>
      </c>
      <c r="P135" s="307"/>
      <c r="Q135" s="306" t="s">
        <v>286</v>
      </c>
      <c r="R135" s="308"/>
      <c r="S135" s="4"/>
      <c r="W135" s="152"/>
    </row>
    <row r="136" spans="2:26" x14ac:dyDescent="0.2">
      <c r="B136" s="4" t="s">
        <v>287</v>
      </c>
      <c r="C136" s="266"/>
      <c r="D136" s="4"/>
      <c r="E136" s="4"/>
      <c r="F136" s="4"/>
      <c r="G136" s="4"/>
      <c r="H136" s="4"/>
      <c r="I136" s="4"/>
      <c r="J136" s="304" t="s">
        <v>288</v>
      </c>
      <c r="K136" s="218">
        <v>0.2</v>
      </c>
      <c r="L136" s="146"/>
      <c r="M136" s="309" t="s">
        <v>289</v>
      </c>
      <c r="N136" s="310"/>
      <c r="O136" s="265"/>
      <c r="P136" s="311" t="s">
        <v>290</v>
      </c>
      <c r="Q136" s="265"/>
      <c r="R136" s="312" t="s">
        <v>290</v>
      </c>
      <c r="S136" s="4"/>
      <c r="U136" s="153"/>
    </row>
    <row r="137" spans="2:26" x14ac:dyDescent="0.2">
      <c r="B137" s="4" t="s">
        <v>291</v>
      </c>
      <c r="C137" s="4"/>
      <c r="D137" s="4"/>
      <c r="E137" s="4"/>
      <c r="F137" s="4"/>
      <c r="G137" s="4"/>
      <c r="H137" s="4"/>
      <c r="I137" s="4"/>
      <c r="J137" s="131" t="s">
        <v>292</v>
      </c>
      <c r="K137" s="4"/>
      <c r="L137" s="146"/>
      <c r="M137" s="132" t="s">
        <v>293</v>
      </c>
      <c r="N137" s="304" t="s">
        <v>294</v>
      </c>
      <c r="O137" s="208">
        <v>5000000</v>
      </c>
      <c r="P137" s="267">
        <f>O137/O140</f>
        <v>0.33333333333333331</v>
      </c>
      <c r="Q137" s="208">
        <v>5000000</v>
      </c>
      <c r="R137" s="309">
        <f>Q137/Q140</f>
        <v>0.3125</v>
      </c>
      <c r="S137" s="4"/>
      <c r="U137" s="153"/>
    </row>
    <row r="138" spans="2:26" x14ac:dyDescent="0.2">
      <c r="B138" s="4" t="s">
        <v>295</v>
      </c>
      <c r="C138" s="4"/>
      <c r="D138" s="4"/>
      <c r="E138" s="4"/>
      <c r="F138" s="4"/>
      <c r="G138" s="4"/>
      <c r="H138" s="4"/>
      <c r="I138" s="4"/>
      <c r="J138" s="131" t="s">
        <v>296</v>
      </c>
      <c r="K138" s="4"/>
      <c r="L138" s="146"/>
      <c r="M138" s="132" t="s">
        <v>297</v>
      </c>
      <c r="N138" s="304" t="s">
        <v>298</v>
      </c>
      <c r="O138" s="209">
        <f>P138*O140</f>
        <v>1500000</v>
      </c>
      <c r="P138" s="267">
        <f>O144</f>
        <v>0.1</v>
      </c>
      <c r="Q138" s="209">
        <f>R138*Q140</f>
        <v>3200000</v>
      </c>
      <c r="R138" s="309">
        <f>Q144</f>
        <v>0.2</v>
      </c>
      <c r="S138" s="4"/>
      <c r="U138" s="153"/>
    </row>
    <row r="139" spans="2:26" x14ac:dyDescent="0.2">
      <c r="B139" s="4" t="s">
        <v>299</v>
      </c>
      <c r="C139" s="4"/>
      <c r="D139" s="4"/>
      <c r="E139" s="4"/>
      <c r="F139" s="4"/>
      <c r="G139" s="4"/>
      <c r="H139" s="4"/>
      <c r="I139" s="4"/>
      <c r="J139" s="131" t="s">
        <v>300</v>
      </c>
      <c r="K139" s="4"/>
      <c r="L139" s="146"/>
      <c r="M139" s="132" t="s">
        <v>301</v>
      </c>
      <c r="N139" s="313" t="s">
        <v>302</v>
      </c>
      <c r="O139" s="216">
        <f>O140-O137-O138</f>
        <v>8500000</v>
      </c>
      <c r="P139" s="273">
        <v>0.56999999999999995</v>
      </c>
      <c r="Q139" s="216">
        <f>Q140-Q137-Q138</f>
        <v>7800000</v>
      </c>
      <c r="R139" s="314">
        <v>0.49</v>
      </c>
      <c r="S139" s="4"/>
      <c r="U139" s="153"/>
      <c r="Y139" s="7"/>
      <c r="Z139" s="149"/>
    </row>
    <row r="140" spans="2:26" ht="15" thickBot="1" x14ac:dyDescent="0.25">
      <c r="B140" s="4"/>
      <c r="C140" s="4"/>
      <c r="D140" s="4"/>
      <c r="E140" s="4"/>
      <c r="F140" s="4"/>
      <c r="G140" s="4"/>
      <c r="H140" s="4"/>
      <c r="I140" s="4"/>
      <c r="J140" s="131" t="s">
        <v>303</v>
      </c>
      <c r="K140" s="4"/>
      <c r="L140" s="146"/>
      <c r="M140" s="132" t="s">
        <v>304</v>
      </c>
      <c r="N140" s="315" t="s">
        <v>305</v>
      </c>
      <c r="O140" s="316">
        <f>O142+O143</f>
        <v>15000000</v>
      </c>
      <c r="P140" s="317">
        <f>SUM(P137:P139)</f>
        <v>1.0033333333333334</v>
      </c>
      <c r="Q140" s="316">
        <f>Q142+Q143</f>
        <v>16000000</v>
      </c>
      <c r="R140" s="318">
        <f>SUM(R137:R139)</f>
        <v>1.0024999999999999</v>
      </c>
      <c r="S140" s="4"/>
      <c r="U140" s="153"/>
      <c r="Y140" s="7"/>
      <c r="Z140" s="149"/>
    </row>
    <row r="141" spans="2:26" x14ac:dyDescent="0.2">
      <c r="B141" s="4"/>
      <c r="C141" s="4"/>
      <c r="D141" s="4"/>
      <c r="E141" s="4"/>
      <c r="F141" s="162"/>
      <c r="G141" s="4"/>
      <c r="H141" s="4"/>
      <c r="I141" s="4"/>
      <c r="J141" s="131"/>
      <c r="K141" s="208">
        <f>K135/(1-K136)</f>
        <v>5000000</v>
      </c>
      <c r="L141" s="146"/>
      <c r="M141" s="132"/>
      <c r="N141" s="131"/>
      <c r="O141" s="4"/>
      <c r="P141" s="4"/>
      <c r="Q141" s="4"/>
      <c r="R141" s="132"/>
      <c r="S141" s="4"/>
      <c r="U141" s="153"/>
    </row>
    <row r="142" spans="2:26" x14ac:dyDescent="0.2">
      <c r="B142" s="4"/>
      <c r="C142" s="4"/>
      <c r="D142" s="4"/>
      <c r="E142" s="4"/>
      <c r="F142" s="4"/>
      <c r="G142" s="4"/>
      <c r="H142" s="4"/>
      <c r="I142" s="4"/>
      <c r="J142" s="131" t="s">
        <v>306</v>
      </c>
      <c r="K142" s="4"/>
      <c r="L142" s="146"/>
      <c r="M142" s="132"/>
      <c r="N142" s="304" t="s">
        <v>307</v>
      </c>
      <c r="O142" s="208">
        <v>10000000</v>
      </c>
      <c r="P142" s="4"/>
      <c r="Q142" s="208">
        <v>11000000</v>
      </c>
      <c r="R142" s="132"/>
      <c r="S142" s="4"/>
      <c r="U142" s="153"/>
    </row>
    <row r="143" spans="2:26" x14ac:dyDescent="0.2">
      <c r="B143" s="4"/>
      <c r="C143" s="4"/>
      <c r="D143" s="4"/>
      <c r="E143" s="4"/>
      <c r="F143" s="4"/>
      <c r="G143" s="4"/>
      <c r="H143" s="4"/>
      <c r="I143" s="4"/>
      <c r="J143" s="131" t="s">
        <v>308</v>
      </c>
      <c r="K143" s="4"/>
      <c r="L143" s="146"/>
      <c r="M143" s="132"/>
      <c r="N143" s="304" t="s">
        <v>309</v>
      </c>
      <c r="O143" s="208">
        <v>5000000</v>
      </c>
      <c r="P143" s="4"/>
      <c r="Q143" s="208">
        <v>5000000</v>
      </c>
      <c r="R143" s="132"/>
      <c r="S143" s="4"/>
      <c r="U143" s="153"/>
    </row>
    <row r="144" spans="2:26" ht="15" thickBot="1" x14ac:dyDescent="0.25">
      <c r="B144" s="4"/>
      <c r="C144" s="4"/>
      <c r="D144" s="4"/>
      <c r="E144" s="4"/>
      <c r="F144" s="4"/>
      <c r="G144" s="4"/>
      <c r="H144" s="4"/>
      <c r="I144" s="4"/>
      <c r="J144" s="200"/>
      <c r="K144" s="221">
        <f>K135*(1-K136)</f>
        <v>3200000</v>
      </c>
      <c r="L144" s="319"/>
      <c r="M144" s="223"/>
      <c r="N144" s="320" t="s">
        <v>310</v>
      </c>
      <c r="O144" s="321">
        <v>0.1</v>
      </c>
      <c r="P144" s="322"/>
      <c r="Q144" s="321">
        <v>0.2</v>
      </c>
      <c r="R144" s="223"/>
      <c r="S144" s="4"/>
      <c r="U144" s="153"/>
    </row>
    <row r="145" spans="2:21" x14ac:dyDescent="0.2">
      <c r="B145" s="4"/>
      <c r="C145" s="4"/>
      <c r="D145" s="4"/>
      <c r="E145" s="4"/>
      <c r="F145" s="4"/>
      <c r="G145" s="4"/>
      <c r="H145" s="4"/>
      <c r="I145" s="4"/>
      <c r="J145" s="4"/>
      <c r="K145" s="4"/>
      <c r="L145" s="4"/>
      <c r="M145" s="4"/>
      <c r="N145" s="4"/>
      <c r="O145" s="4"/>
      <c r="P145" s="4"/>
      <c r="Q145" s="4"/>
      <c r="R145" s="4"/>
      <c r="S145" s="4"/>
      <c r="U145" s="153"/>
    </row>
    <row r="146" spans="2:21" ht="15" thickBot="1" x14ac:dyDescent="0.25">
      <c r="B146" s="4"/>
      <c r="C146" s="4"/>
      <c r="D146" s="4"/>
      <c r="E146" s="4"/>
      <c r="F146" s="4"/>
      <c r="G146" s="4"/>
      <c r="H146" s="4"/>
      <c r="I146" s="4"/>
      <c r="J146" s="4"/>
      <c r="K146" s="4"/>
      <c r="L146" s="4"/>
      <c r="M146" s="4"/>
      <c r="N146" s="4"/>
      <c r="O146" s="4"/>
      <c r="P146" s="4"/>
      <c r="Q146" s="4"/>
      <c r="R146" s="4"/>
      <c r="S146" s="4"/>
      <c r="U146" s="153"/>
    </row>
    <row r="147" spans="2:21" x14ac:dyDescent="0.2">
      <c r="B147" s="4"/>
      <c r="C147" s="301" t="s">
        <v>311</v>
      </c>
      <c r="D147" s="159"/>
      <c r="E147" s="159"/>
      <c r="F147" s="159"/>
      <c r="G147" s="159"/>
      <c r="H147" s="159"/>
      <c r="I147" s="159"/>
      <c r="J147" s="159"/>
      <c r="K147" s="159"/>
      <c r="L147" s="159"/>
      <c r="M147" s="159"/>
      <c r="N147" s="161"/>
      <c r="O147" s="4"/>
      <c r="P147" s="4"/>
      <c r="Q147" s="4"/>
      <c r="R147" s="4"/>
      <c r="S147" s="4"/>
      <c r="U147" s="153"/>
    </row>
    <row r="148" spans="2:21" x14ac:dyDescent="0.2">
      <c r="B148" s="4"/>
      <c r="C148" s="323">
        <v>1</v>
      </c>
      <c r="D148" s="4" t="s">
        <v>312</v>
      </c>
      <c r="E148" s="4"/>
      <c r="F148" s="4"/>
      <c r="G148" s="4"/>
      <c r="H148" s="4"/>
      <c r="I148" s="4"/>
      <c r="J148" s="4"/>
      <c r="K148" s="4"/>
      <c r="L148" s="4"/>
      <c r="M148" s="4"/>
      <c r="N148" s="132"/>
      <c r="O148" s="4"/>
      <c r="P148" s="4"/>
      <c r="Q148" s="4"/>
      <c r="R148" s="4"/>
      <c r="S148" s="4"/>
      <c r="U148" s="153"/>
    </row>
    <row r="149" spans="2:21" x14ac:dyDescent="0.2">
      <c r="B149" s="4"/>
      <c r="C149" s="323"/>
      <c r="D149" s="324" t="s">
        <v>313</v>
      </c>
      <c r="E149" s="324"/>
      <c r="F149" s="324"/>
      <c r="G149" s="324"/>
      <c r="H149" s="324"/>
      <c r="I149" s="324"/>
      <c r="J149" s="4"/>
      <c r="K149" s="4"/>
      <c r="L149" s="4"/>
      <c r="M149" s="4"/>
      <c r="N149" s="132"/>
      <c r="O149" s="4"/>
      <c r="P149" s="4"/>
      <c r="Q149" s="4"/>
      <c r="R149" s="4"/>
      <c r="S149" s="4"/>
      <c r="U149" s="153"/>
    </row>
    <row r="150" spans="2:21" x14ac:dyDescent="0.2">
      <c r="B150" s="4"/>
      <c r="C150" s="323"/>
      <c r="D150" s="325" t="s">
        <v>314</v>
      </c>
      <c r="E150" s="325" t="s">
        <v>315</v>
      </c>
      <c r="F150" s="325" t="s">
        <v>316</v>
      </c>
      <c r="G150" s="325" t="s">
        <v>317</v>
      </c>
      <c r="H150" s="325" t="s">
        <v>318</v>
      </c>
      <c r="I150" s="325" t="s">
        <v>319</v>
      </c>
      <c r="J150" s="4"/>
      <c r="K150" s="4"/>
      <c r="L150" s="4"/>
      <c r="M150" s="4"/>
      <c r="N150" s="132"/>
      <c r="O150" s="4"/>
      <c r="P150" s="4"/>
      <c r="Q150" s="4"/>
      <c r="R150" s="4"/>
      <c r="S150" s="4"/>
      <c r="U150" s="153"/>
    </row>
    <row r="151" spans="2:21" x14ac:dyDescent="0.2">
      <c r="B151" s="4"/>
      <c r="C151" s="323"/>
      <c r="D151" s="209">
        <v>100000</v>
      </c>
      <c r="E151" s="326">
        <v>1</v>
      </c>
      <c r="F151" s="327">
        <v>0.2</v>
      </c>
      <c r="G151" s="326">
        <f>E151*(1-F151)</f>
        <v>0.8</v>
      </c>
      <c r="H151" s="209">
        <f>D151/(1-F151)</f>
        <v>125000</v>
      </c>
      <c r="I151" s="215">
        <f>H151-D151</f>
        <v>25000</v>
      </c>
      <c r="J151" s="4"/>
      <c r="K151" s="4"/>
      <c r="L151" s="4"/>
      <c r="M151" s="4"/>
      <c r="N151" s="132"/>
      <c r="O151" s="4"/>
      <c r="P151" s="4"/>
      <c r="Q151" s="4"/>
      <c r="R151" s="4"/>
      <c r="S151" s="4"/>
      <c r="U151" s="153"/>
    </row>
    <row r="152" spans="2:21" x14ac:dyDescent="0.2">
      <c r="B152" s="4"/>
      <c r="C152" s="323"/>
      <c r="D152" s="4"/>
      <c r="E152" s="4"/>
      <c r="F152" s="4"/>
      <c r="G152" s="4"/>
      <c r="H152" s="4"/>
      <c r="I152" s="4"/>
      <c r="J152" s="4"/>
      <c r="K152" s="4"/>
      <c r="L152" s="4"/>
      <c r="M152" s="4"/>
      <c r="N152" s="132"/>
      <c r="O152" s="4"/>
      <c r="P152" s="4"/>
      <c r="Q152" s="4"/>
      <c r="R152" s="4"/>
      <c r="S152" s="4"/>
      <c r="U152" s="153"/>
    </row>
    <row r="153" spans="2:21" x14ac:dyDescent="0.2">
      <c r="B153" s="4"/>
      <c r="C153" s="323">
        <v>2</v>
      </c>
      <c r="D153" s="4" t="s">
        <v>320</v>
      </c>
      <c r="E153" s="4"/>
      <c r="F153" s="4"/>
      <c r="G153" s="4"/>
      <c r="H153" s="4"/>
      <c r="I153" s="4"/>
      <c r="J153" s="4"/>
      <c r="K153" s="4"/>
      <c r="L153" s="4"/>
      <c r="M153" s="4"/>
      <c r="N153" s="132"/>
      <c r="O153" s="4"/>
      <c r="P153" s="4"/>
      <c r="Q153" s="4"/>
      <c r="R153" s="4"/>
      <c r="S153" s="4"/>
      <c r="U153" s="153"/>
    </row>
    <row r="154" spans="2:21" x14ac:dyDescent="0.2">
      <c r="B154" s="4"/>
      <c r="C154" s="323"/>
      <c r="D154" s="324" t="s">
        <v>321</v>
      </c>
      <c r="E154" s="324"/>
      <c r="F154" s="324"/>
      <c r="G154" s="324"/>
      <c r="H154" s="324"/>
      <c r="I154" s="324"/>
      <c r="J154" s="324"/>
      <c r="K154" s="324"/>
      <c r="L154" s="324"/>
      <c r="M154" s="4"/>
      <c r="N154" s="132"/>
      <c r="O154" s="4"/>
      <c r="P154" s="4"/>
      <c r="Q154" s="4"/>
      <c r="R154" s="4"/>
      <c r="S154" s="4"/>
      <c r="U154" s="153"/>
    </row>
    <row r="155" spans="2:21" x14ac:dyDescent="0.2">
      <c r="B155" s="4"/>
      <c r="C155" s="323"/>
      <c r="D155" s="4" t="s">
        <v>322</v>
      </c>
      <c r="E155" s="4"/>
      <c r="F155" s="4"/>
      <c r="G155" s="4"/>
      <c r="H155" s="4"/>
      <c r="I155" s="4"/>
      <c r="J155" s="4"/>
      <c r="K155" s="4"/>
      <c r="L155" s="4"/>
      <c r="M155" s="4"/>
      <c r="N155" s="132"/>
      <c r="O155" s="4"/>
      <c r="P155" s="4"/>
      <c r="Q155" s="4"/>
      <c r="R155" s="4"/>
      <c r="S155" s="4"/>
      <c r="U155" s="153"/>
    </row>
    <row r="156" spans="2:21" x14ac:dyDescent="0.2">
      <c r="B156" s="4"/>
      <c r="C156" s="323"/>
      <c r="D156" s="4" t="s">
        <v>323</v>
      </c>
      <c r="E156" s="4"/>
      <c r="F156" s="328"/>
      <c r="G156" s="328"/>
      <c r="H156" s="4"/>
      <c r="I156" s="4"/>
      <c r="J156" s="4"/>
      <c r="K156" s="4"/>
      <c r="L156" s="4"/>
      <c r="M156" s="249"/>
      <c r="N156" s="132"/>
      <c r="O156" s="4"/>
      <c r="P156" s="4"/>
      <c r="Q156" s="4"/>
      <c r="R156" s="4"/>
      <c r="S156" s="4"/>
      <c r="U156" s="153"/>
    </row>
    <row r="157" spans="2:21" x14ac:dyDescent="0.2">
      <c r="B157" s="4"/>
      <c r="C157" s="323"/>
      <c r="D157" s="4"/>
      <c r="E157" s="4"/>
      <c r="F157" s="329"/>
      <c r="G157" s="329"/>
      <c r="H157" s="4"/>
      <c r="I157" s="4"/>
      <c r="J157" s="4"/>
      <c r="K157" s="4"/>
      <c r="L157" s="4"/>
      <c r="M157" s="4"/>
      <c r="N157" s="132"/>
      <c r="O157" s="4"/>
      <c r="P157" s="4"/>
      <c r="Q157" s="4"/>
      <c r="R157" s="4"/>
      <c r="S157" s="4"/>
      <c r="U157" s="153"/>
    </row>
    <row r="158" spans="2:21" x14ac:dyDescent="0.2">
      <c r="B158" s="4"/>
      <c r="C158" s="323">
        <v>3</v>
      </c>
      <c r="D158" s="4" t="s">
        <v>324</v>
      </c>
      <c r="E158" s="4"/>
      <c r="F158" s="329"/>
      <c r="G158" s="329"/>
      <c r="H158" s="4"/>
      <c r="I158" s="4"/>
      <c r="J158" s="4"/>
      <c r="K158" s="4"/>
      <c r="L158" s="4"/>
      <c r="M158" s="4"/>
      <c r="N158" s="132"/>
      <c r="O158" s="4"/>
      <c r="P158" s="4"/>
      <c r="Q158" s="4"/>
      <c r="R158" s="4"/>
      <c r="S158" s="4"/>
      <c r="U158" s="153"/>
    </row>
    <row r="159" spans="2:21" x14ac:dyDescent="0.2">
      <c r="B159" s="4"/>
      <c r="C159" s="323"/>
      <c r="D159" s="324" t="s">
        <v>325</v>
      </c>
      <c r="E159" s="324"/>
      <c r="F159" s="330"/>
      <c r="G159" s="329"/>
      <c r="H159" s="4"/>
      <c r="I159" s="331" t="s">
        <v>326</v>
      </c>
      <c r="J159" s="4"/>
      <c r="K159" s="4"/>
      <c r="L159" s="4"/>
      <c r="M159" s="4"/>
      <c r="N159" s="132"/>
      <c r="O159" s="4"/>
      <c r="P159" s="4"/>
      <c r="Q159" s="4"/>
      <c r="R159" s="4"/>
      <c r="S159" s="4"/>
      <c r="U159" s="153"/>
    </row>
    <row r="160" spans="2:21" ht="16" customHeight="1" x14ac:dyDescent="0.2">
      <c r="B160" s="4"/>
      <c r="C160" s="323"/>
      <c r="D160" s="4"/>
      <c r="E160" s="4"/>
      <c r="F160" s="4"/>
      <c r="G160" s="4"/>
      <c r="H160" s="4"/>
      <c r="I160" s="331"/>
      <c r="J160" s="4"/>
      <c r="K160" s="4"/>
      <c r="L160" s="4"/>
      <c r="M160" s="4"/>
      <c r="N160" s="132"/>
      <c r="O160" s="4"/>
      <c r="P160" s="4"/>
      <c r="Q160" s="4"/>
      <c r="R160" s="4"/>
      <c r="S160" s="4"/>
      <c r="U160" s="153"/>
    </row>
    <row r="161" spans="2:22" x14ac:dyDescent="0.2">
      <c r="B161" s="4"/>
      <c r="C161" s="323"/>
      <c r="D161" s="325" t="s">
        <v>314</v>
      </c>
      <c r="E161" s="325" t="s">
        <v>315</v>
      </c>
      <c r="F161" s="325" t="s">
        <v>327</v>
      </c>
      <c r="G161" s="325" t="s">
        <v>328</v>
      </c>
      <c r="H161" s="325" t="s">
        <v>316</v>
      </c>
      <c r="I161" s="332"/>
      <c r="J161" s="325" t="s">
        <v>317</v>
      </c>
      <c r="K161" s="325" t="s">
        <v>329</v>
      </c>
      <c r="L161" s="325" t="s">
        <v>262</v>
      </c>
      <c r="M161" s="4"/>
      <c r="N161" s="132"/>
      <c r="O161" s="4"/>
      <c r="P161" s="4"/>
      <c r="Q161" s="4"/>
      <c r="R161" s="4"/>
      <c r="S161" s="4"/>
      <c r="U161" s="153"/>
    </row>
    <row r="162" spans="2:22" x14ac:dyDescent="0.2">
      <c r="B162" s="4"/>
      <c r="C162" s="323"/>
      <c r="D162" s="209">
        <v>100000</v>
      </c>
      <c r="E162" s="326">
        <v>1</v>
      </c>
      <c r="F162" s="255">
        <f>D162/E162</f>
        <v>100000</v>
      </c>
      <c r="G162" s="209">
        <f>F162*E162</f>
        <v>100000</v>
      </c>
      <c r="H162" s="327">
        <v>0.2</v>
      </c>
      <c r="I162" s="255">
        <f>(F162/(1-H162))-F162</f>
        <v>25000</v>
      </c>
      <c r="J162" s="326">
        <f>E162*(1-H162)</f>
        <v>0.8</v>
      </c>
      <c r="K162" s="209">
        <f>I162*E162</f>
        <v>25000</v>
      </c>
      <c r="L162" s="215">
        <f>G162+K162</f>
        <v>125000</v>
      </c>
      <c r="M162" s="4"/>
      <c r="N162" s="132"/>
      <c r="O162" s="4"/>
      <c r="P162" s="4"/>
      <c r="Q162" s="4"/>
      <c r="R162" s="4"/>
      <c r="S162" s="4"/>
      <c r="U162" s="153"/>
    </row>
    <row r="163" spans="2:22" ht="15" customHeight="1" x14ac:dyDescent="0.2">
      <c r="B163" s="4"/>
      <c r="C163" s="323"/>
      <c r="D163" s="4" t="s">
        <v>330</v>
      </c>
      <c r="E163" s="4"/>
      <c r="F163" s="329"/>
      <c r="G163" s="329"/>
      <c r="H163" s="4"/>
      <c r="I163" s="4"/>
      <c r="J163" s="4"/>
      <c r="K163" s="4"/>
      <c r="L163" s="4"/>
      <c r="M163" s="4"/>
      <c r="N163" s="132"/>
      <c r="O163" s="4"/>
      <c r="P163" s="4"/>
      <c r="Q163" s="4"/>
      <c r="R163" s="4"/>
      <c r="S163" s="4"/>
      <c r="U163" s="153"/>
    </row>
    <row r="164" spans="2:22" x14ac:dyDescent="0.2">
      <c r="B164" s="4"/>
      <c r="C164" s="323"/>
      <c r="D164" s="4"/>
      <c r="E164" s="4"/>
      <c r="F164" s="329"/>
      <c r="G164" s="329"/>
      <c r="H164" s="4"/>
      <c r="I164" s="4"/>
      <c r="J164" s="4"/>
      <c r="K164" s="4"/>
      <c r="L164" s="4"/>
      <c r="M164" s="4"/>
      <c r="N164" s="132"/>
      <c r="O164" s="4"/>
      <c r="P164" s="4"/>
      <c r="Q164" s="4"/>
      <c r="R164" s="4"/>
      <c r="S164" s="4"/>
      <c r="U164" s="153"/>
    </row>
    <row r="165" spans="2:22" x14ac:dyDescent="0.2">
      <c r="B165" s="4"/>
      <c r="C165" s="323">
        <v>4</v>
      </c>
      <c r="D165" s="4" t="s">
        <v>331</v>
      </c>
      <c r="E165" s="4"/>
      <c r="F165" s="329"/>
      <c r="G165" s="329"/>
      <c r="H165" s="4"/>
      <c r="I165" s="4"/>
      <c r="J165" s="4"/>
      <c r="K165" s="4"/>
      <c r="L165" s="4"/>
      <c r="M165" s="4"/>
      <c r="N165" s="132"/>
      <c r="O165" s="4"/>
      <c r="P165" s="4"/>
      <c r="Q165" s="4"/>
      <c r="R165" s="4"/>
      <c r="S165" s="4"/>
      <c r="U165" s="153"/>
    </row>
    <row r="166" spans="2:22" x14ac:dyDescent="0.2">
      <c r="B166" s="4"/>
      <c r="C166" s="131"/>
      <c r="D166" s="4" t="s">
        <v>332</v>
      </c>
      <c r="E166" s="4"/>
      <c r="F166" s="329"/>
      <c r="G166" s="329"/>
      <c r="H166" s="4"/>
      <c r="I166" s="4"/>
      <c r="J166" s="4"/>
      <c r="K166" s="4"/>
      <c r="L166" s="4"/>
      <c r="M166" s="4"/>
      <c r="N166" s="132"/>
      <c r="O166" s="4"/>
      <c r="P166" s="4"/>
      <c r="Q166" s="4"/>
      <c r="R166" s="4"/>
      <c r="S166" s="4"/>
      <c r="U166" s="153"/>
    </row>
    <row r="167" spans="2:22" x14ac:dyDescent="0.2">
      <c r="B167" s="4"/>
      <c r="C167" s="131"/>
      <c r="D167" s="4" t="s">
        <v>333</v>
      </c>
      <c r="E167" s="4"/>
      <c r="F167" s="329"/>
      <c r="G167" s="329"/>
      <c r="H167" s="4"/>
      <c r="I167" s="4"/>
      <c r="J167" s="4"/>
      <c r="K167" s="4"/>
      <c r="L167" s="4"/>
      <c r="M167" s="4"/>
      <c r="N167" s="132"/>
      <c r="O167" s="4"/>
      <c r="P167" s="4" t="s">
        <v>334</v>
      </c>
      <c r="Q167" s="4"/>
      <c r="R167" s="4"/>
      <c r="S167" s="4"/>
      <c r="U167" s="153"/>
    </row>
    <row r="168" spans="2:22" ht="15" thickBot="1" x14ac:dyDescent="0.25">
      <c r="B168" s="4"/>
      <c r="C168" s="131"/>
      <c r="D168" s="4"/>
      <c r="E168" s="4"/>
      <c r="F168" s="329"/>
      <c r="G168" s="329"/>
      <c r="H168" s="4"/>
      <c r="I168" s="4"/>
      <c r="J168" s="4"/>
      <c r="K168" s="4"/>
      <c r="L168" s="4"/>
      <c r="M168" s="4"/>
      <c r="N168" s="132"/>
      <c r="O168" s="4"/>
      <c r="P168" s="4"/>
      <c r="Q168" s="4"/>
      <c r="R168" s="4"/>
      <c r="S168" s="4"/>
      <c r="U168" s="153"/>
    </row>
    <row r="169" spans="2:22" x14ac:dyDescent="0.2">
      <c r="B169" s="4"/>
      <c r="C169" s="163" t="s">
        <v>335</v>
      </c>
      <c r="D169" s="4" t="s">
        <v>336</v>
      </c>
      <c r="E169" s="4"/>
      <c r="F169" s="329"/>
      <c r="G169" s="329"/>
      <c r="H169" s="4"/>
      <c r="I169" s="4"/>
      <c r="J169" s="4"/>
      <c r="K169" s="4"/>
      <c r="L169" s="4"/>
      <c r="M169" s="4"/>
      <c r="N169" s="132"/>
      <c r="O169" s="333" t="s">
        <v>337</v>
      </c>
      <c r="P169" s="161" t="s">
        <v>338</v>
      </c>
      <c r="Q169" s="333" t="s">
        <v>339</v>
      </c>
      <c r="R169" s="161" t="s">
        <v>340</v>
      </c>
      <c r="S169" s="4"/>
      <c r="U169" s="153"/>
    </row>
    <row r="170" spans="2:22" x14ac:dyDescent="0.2">
      <c r="B170" s="4"/>
      <c r="C170" s="131"/>
      <c r="D170" s="4" t="s">
        <v>341</v>
      </c>
      <c r="E170" s="4"/>
      <c r="F170" s="329"/>
      <c r="G170" s="329"/>
      <c r="H170" s="4"/>
      <c r="I170" s="4"/>
      <c r="J170" s="4"/>
      <c r="K170" s="4"/>
      <c r="L170" s="4"/>
      <c r="M170" s="4"/>
      <c r="N170" s="132"/>
      <c r="O170" s="334" t="s">
        <v>342</v>
      </c>
      <c r="P170" s="132" t="s">
        <v>343</v>
      </c>
      <c r="Q170" s="335" t="s">
        <v>344</v>
      </c>
      <c r="R170" s="132" t="s">
        <v>345</v>
      </c>
      <c r="S170" s="4"/>
      <c r="U170" s="140"/>
    </row>
    <row r="171" spans="2:22" ht="15" thickBot="1" x14ac:dyDescent="0.25">
      <c r="B171" s="4"/>
      <c r="C171" s="131"/>
      <c r="D171" s="4"/>
      <c r="E171" s="4"/>
      <c r="F171" s="329"/>
      <c r="G171" s="329"/>
      <c r="H171" s="4"/>
      <c r="I171" s="4"/>
      <c r="J171" s="336" t="s">
        <v>346</v>
      </c>
      <c r="K171" s="4"/>
      <c r="L171" s="4"/>
      <c r="M171" s="4"/>
      <c r="N171" s="132"/>
      <c r="O171" s="337" t="s">
        <v>347</v>
      </c>
      <c r="P171" s="223" t="s">
        <v>348</v>
      </c>
      <c r="Q171" s="335" t="s">
        <v>337</v>
      </c>
      <c r="R171" s="132" t="s">
        <v>349</v>
      </c>
      <c r="S171" s="4"/>
      <c r="U171" s="140"/>
    </row>
    <row r="172" spans="2:22" x14ac:dyDescent="0.2">
      <c r="B172" s="4"/>
      <c r="C172" s="131"/>
      <c r="D172" s="325" t="s">
        <v>350</v>
      </c>
      <c r="E172" s="325" t="s">
        <v>351</v>
      </c>
      <c r="F172" s="338" t="s">
        <v>302</v>
      </c>
      <c r="G172" s="338" t="s">
        <v>352</v>
      </c>
      <c r="H172" s="325" t="s">
        <v>353</v>
      </c>
      <c r="I172" s="325" t="s">
        <v>354</v>
      </c>
      <c r="J172" s="339"/>
      <c r="K172" s="206" t="s">
        <v>355</v>
      </c>
      <c r="L172" s="4"/>
      <c r="M172" s="4"/>
      <c r="N172" s="132"/>
      <c r="O172" s="235"/>
      <c r="P172" s="159"/>
      <c r="Q172" s="340" t="s">
        <v>356</v>
      </c>
      <c r="R172" s="341" t="s">
        <v>357</v>
      </c>
      <c r="S172" s="342"/>
      <c r="U172" s="140"/>
    </row>
    <row r="173" spans="2:22" ht="15" thickBot="1" x14ac:dyDescent="0.25">
      <c r="B173" s="4"/>
      <c r="C173" s="200"/>
      <c r="D173" s="221">
        <v>10000000</v>
      </c>
      <c r="E173" s="343">
        <v>0.2</v>
      </c>
      <c r="F173" s="344">
        <v>40000000</v>
      </c>
      <c r="G173" s="321">
        <v>0.8</v>
      </c>
      <c r="H173" s="221">
        <v>60000000</v>
      </c>
      <c r="I173" s="345">
        <f>D173</f>
        <v>10000000</v>
      </c>
      <c r="J173" s="346">
        <f>0.2*(H173-I173)</f>
        <v>10000000</v>
      </c>
      <c r="K173" s="345">
        <f>I173+J173</f>
        <v>20000000</v>
      </c>
      <c r="L173" s="201"/>
      <c r="M173" s="201"/>
      <c r="N173" s="223"/>
      <c r="O173" s="131"/>
      <c r="P173" s="4"/>
      <c r="Q173" s="194" t="s">
        <v>358</v>
      </c>
      <c r="R173" s="347" t="s">
        <v>359</v>
      </c>
      <c r="S173" s="347"/>
      <c r="U173" s="140"/>
      <c r="V173" s="28"/>
    </row>
    <row r="174" spans="2:22" x14ac:dyDescent="0.2">
      <c r="B174" s="4"/>
      <c r="C174" s="4"/>
      <c r="D174" s="4"/>
      <c r="E174" s="4"/>
      <c r="F174" s="4"/>
      <c r="G174" s="4"/>
      <c r="H174" s="4"/>
      <c r="I174" s="4"/>
      <c r="J174" s="4"/>
      <c r="K174" s="4"/>
      <c r="L174" s="4"/>
      <c r="M174" s="4"/>
      <c r="N174" s="4"/>
      <c r="O174" s="131"/>
      <c r="P174" s="4"/>
      <c r="Q174" s="194" t="s">
        <v>360</v>
      </c>
      <c r="R174" s="347" t="s">
        <v>361</v>
      </c>
      <c r="S174" s="347"/>
      <c r="U174" s="140"/>
      <c r="V174" s="36"/>
    </row>
    <row r="175" spans="2:22" ht="15" customHeight="1" thickBot="1" x14ac:dyDescent="0.25">
      <c r="B175" s="4"/>
      <c r="C175" s="4"/>
      <c r="D175" s="4"/>
      <c r="E175" s="4"/>
      <c r="F175" s="4"/>
      <c r="G175" s="4"/>
      <c r="H175" s="4"/>
      <c r="I175" s="4"/>
      <c r="J175" s="4"/>
      <c r="K175" s="4"/>
      <c r="L175" s="4"/>
      <c r="M175" s="4"/>
      <c r="N175" s="4"/>
      <c r="O175" s="200"/>
      <c r="P175" s="201"/>
      <c r="Q175" s="348" t="s">
        <v>362</v>
      </c>
      <c r="R175" s="349" t="s">
        <v>363</v>
      </c>
      <c r="S175" s="350"/>
    </row>
    <row r="176" spans="2:22" x14ac:dyDescent="0.2">
      <c r="B176" s="4"/>
      <c r="C176" s="351" t="s">
        <v>364</v>
      </c>
      <c r="D176" s="352"/>
      <c r="E176" s="352"/>
      <c r="F176" s="159"/>
      <c r="G176" s="159"/>
      <c r="H176" s="159"/>
      <c r="I176" s="159"/>
      <c r="J176" s="160"/>
      <c r="K176" s="353"/>
      <c r="L176" s="333" t="s">
        <v>261</v>
      </c>
      <c r="M176" s="159" t="s">
        <v>365</v>
      </c>
      <c r="N176" s="161"/>
      <c r="O176" s="354">
        <f>C47/D4</f>
        <v>49.645032702512133</v>
      </c>
      <c r="P176" s="159" t="s">
        <v>366</v>
      </c>
      <c r="Q176" s="159"/>
      <c r="R176" s="161"/>
      <c r="S176" s="4"/>
      <c r="V176" s="36"/>
    </row>
    <row r="177" spans="2:22" x14ac:dyDescent="0.2">
      <c r="B177" s="4"/>
      <c r="C177" s="355" t="s">
        <v>367</v>
      </c>
      <c r="D177" s="150"/>
      <c r="E177" s="150"/>
      <c r="F177" s="150"/>
      <c r="G177" s="170"/>
      <c r="H177" s="356" t="s">
        <v>368</v>
      </c>
      <c r="I177" s="150"/>
      <c r="J177" s="150"/>
      <c r="K177" s="357"/>
      <c r="L177" s="335" t="s">
        <v>253</v>
      </c>
      <c r="M177" s="4" t="s">
        <v>369</v>
      </c>
      <c r="N177" s="132"/>
      <c r="O177" s="358">
        <f>' Eq Valuation'!D4</f>
        <v>10000000</v>
      </c>
      <c r="P177" s="4" t="s">
        <v>370</v>
      </c>
      <c r="Q177" s="4"/>
      <c r="R177" s="132"/>
      <c r="S177" s="4"/>
    </row>
    <row r="178" spans="2:22" ht="15" thickBot="1" x14ac:dyDescent="0.25">
      <c r="B178" s="4"/>
      <c r="C178" s="359" t="s">
        <v>371</v>
      </c>
      <c r="D178" s="360"/>
      <c r="E178" s="360"/>
      <c r="F178" s="4" t="s">
        <v>372</v>
      </c>
      <c r="G178" s="146"/>
      <c r="H178" s="4"/>
      <c r="I178" s="4"/>
      <c r="J178" s="4"/>
      <c r="K178" s="132"/>
      <c r="L178" s="337" t="s">
        <v>373</v>
      </c>
      <c r="M178" s="201" t="s">
        <v>374</v>
      </c>
      <c r="N178" s="223"/>
      <c r="O178" s="131" t="s">
        <v>375</v>
      </c>
      <c r="P178" s="4"/>
      <c r="Q178" s="4"/>
      <c r="R178" s="132"/>
      <c r="S178" s="4"/>
    </row>
    <row r="179" spans="2:22" x14ac:dyDescent="0.2">
      <c r="B179" s="4"/>
      <c r="C179" s="361" t="s">
        <v>376</v>
      </c>
      <c r="D179" s="362" t="s">
        <v>284</v>
      </c>
      <c r="E179" s="363" t="s">
        <v>377</v>
      </c>
      <c r="F179" s="206" t="s">
        <v>378</v>
      </c>
      <c r="G179" s="364" t="s">
        <v>379</v>
      </c>
      <c r="H179" s="206" t="s">
        <v>380</v>
      </c>
      <c r="I179" s="365" t="s">
        <v>381</v>
      </c>
      <c r="J179" s="206"/>
      <c r="K179" s="207" t="s">
        <v>382</v>
      </c>
      <c r="L179" s="333" t="s">
        <v>253</v>
      </c>
      <c r="M179" s="159" t="s">
        <v>383</v>
      </c>
      <c r="N179" s="161"/>
      <c r="O179" s="131" t="s">
        <v>384</v>
      </c>
      <c r="P179" s="4"/>
      <c r="Q179" s="4"/>
      <c r="R179" s="132"/>
      <c r="S179" s="4"/>
    </row>
    <row r="180" spans="2:22" x14ac:dyDescent="0.2">
      <c r="B180" s="4"/>
      <c r="C180" s="366">
        <v>500000</v>
      </c>
      <c r="D180" s="367">
        <v>4500000</v>
      </c>
      <c r="E180" s="368">
        <f>C180/(C180+D180)</f>
        <v>0.1</v>
      </c>
      <c r="F180" s="4"/>
      <c r="G180" s="146"/>
      <c r="H180" s="208">
        <v>3000000</v>
      </c>
      <c r="I180" s="215">
        <v>12000000</v>
      </c>
      <c r="J180" s="327"/>
      <c r="K180" s="132"/>
      <c r="L180" s="335" t="s">
        <v>385</v>
      </c>
      <c r="M180" s="4" t="s">
        <v>386</v>
      </c>
      <c r="N180" s="132"/>
      <c r="O180" s="369">
        <f>O181/O176</f>
        <v>183909.86475345789</v>
      </c>
      <c r="P180" s="4" t="s">
        <v>387</v>
      </c>
      <c r="Q180" s="4"/>
      <c r="R180" s="132"/>
      <c r="S180" s="4"/>
    </row>
    <row r="181" spans="2:22" ht="15" thickBot="1" x14ac:dyDescent="0.25">
      <c r="B181" s="4"/>
      <c r="C181" s="131"/>
      <c r="D181" s="367">
        <v>5000000</v>
      </c>
      <c r="E181" s="370"/>
      <c r="F181" s="208">
        <v>2500000</v>
      </c>
      <c r="G181" s="267">
        <f>(D181/F181)*E180</f>
        <v>0.2</v>
      </c>
      <c r="H181" s="4"/>
      <c r="I181" s="4"/>
      <c r="J181" s="4"/>
      <c r="K181" s="162"/>
      <c r="L181" s="337" t="s">
        <v>388</v>
      </c>
      <c r="M181" s="201" t="s">
        <v>389</v>
      </c>
      <c r="N181" s="223"/>
      <c r="O181" s="371">
        <f>D17</f>
        <v>9130211.25</v>
      </c>
      <c r="P181" s="4" t="s">
        <v>261</v>
      </c>
      <c r="Q181" s="4" t="s">
        <v>390</v>
      </c>
      <c r="R181" s="132"/>
      <c r="S181" s="4"/>
    </row>
    <row r="182" spans="2:22" x14ac:dyDescent="0.2">
      <c r="B182" s="4"/>
      <c r="C182" s="131"/>
      <c r="D182" s="4"/>
      <c r="E182" s="4"/>
      <c r="F182" s="4"/>
      <c r="G182" s="4"/>
      <c r="H182" s="4"/>
      <c r="I182" s="4"/>
      <c r="J182" s="4"/>
      <c r="K182" s="162"/>
      <c r="L182" s="333" t="s">
        <v>385</v>
      </c>
      <c r="M182" s="159" t="s">
        <v>391</v>
      </c>
      <c r="N182" s="161"/>
      <c r="O182" s="209">
        <f>O181/0.3</f>
        <v>30434037.5</v>
      </c>
      <c r="P182" s="4" t="s">
        <v>392</v>
      </c>
      <c r="Q182" s="4"/>
      <c r="R182" s="132"/>
      <c r="S182" s="4"/>
    </row>
    <row r="183" spans="2:22" ht="15" thickBot="1" x14ac:dyDescent="0.25">
      <c r="B183" s="4"/>
      <c r="C183" s="131"/>
      <c r="D183" s="4"/>
      <c r="E183" s="4"/>
      <c r="F183" s="4"/>
      <c r="G183" s="4"/>
      <c r="H183" s="4"/>
      <c r="I183" s="4"/>
      <c r="J183" s="4"/>
      <c r="K183" s="162"/>
      <c r="L183" s="335" t="s">
        <v>393</v>
      </c>
      <c r="M183" s="4" t="s">
        <v>394</v>
      </c>
      <c r="N183" s="132"/>
      <c r="O183" s="345">
        <f>O182-O181</f>
        <v>21303826.25</v>
      </c>
      <c r="P183" s="201" t="s">
        <v>395</v>
      </c>
      <c r="Q183" s="201"/>
      <c r="R183" s="223"/>
      <c r="S183" s="4"/>
      <c r="V183" s="145"/>
    </row>
    <row r="184" spans="2:22" ht="15" thickBot="1" x14ac:dyDescent="0.25">
      <c r="B184" s="4"/>
      <c r="C184" s="372" t="s">
        <v>396</v>
      </c>
      <c r="D184" s="373"/>
      <c r="E184" s="373"/>
      <c r="F184" s="4"/>
      <c r="G184" s="4"/>
      <c r="H184" s="4"/>
      <c r="I184" s="4"/>
      <c r="J184" s="215"/>
      <c r="K184" s="374"/>
      <c r="L184" s="337" t="s">
        <v>261</v>
      </c>
      <c r="M184" s="201" t="s">
        <v>397</v>
      </c>
      <c r="N184" s="223"/>
      <c r="O184" s="4"/>
      <c r="P184" s="4"/>
      <c r="Q184" s="4"/>
      <c r="R184" s="4"/>
      <c r="S184" s="4"/>
      <c r="V184" s="145"/>
    </row>
    <row r="185" spans="2:22" x14ac:dyDescent="0.2">
      <c r="B185" s="4"/>
      <c r="C185" s="375" t="s">
        <v>398</v>
      </c>
      <c r="D185" s="206" t="s">
        <v>399</v>
      </c>
      <c r="E185" s="376" t="s">
        <v>400</v>
      </c>
      <c r="F185" s="376" t="s">
        <v>401</v>
      </c>
      <c r="G185" s="4"/>
      <c r="H185" s="4"/>
      <c r="I185" s="4"/>
      <c r="J185" s="208"/>
      <c r="K185" s="377"/>
      <c r="L185" s="333" t="s">
        <v>402</v>
      </c>
      <c r="M185" s="159" t="s">
        <v>403</v>
      </c>
      <c r="N185" s="161"/>
      <c r="O185" s="378">
        <v>4000000</v>
      </c>
      <c r="P185" s="159" t="s">
        <v>261</v>
      </c>
      <c r="Q185" s="159"/>
      <c r="R185" s="161"/>
      <c r="S185" s="4"/>
      <c r="V185" s="110"/>
    </row>
    <row r="186" spans="2:22" x14ac:dyDescent="0.2">
      <c r="B186" s="4"/>
      <c r="C186" s="379">
        <v>2</v>
      </c>
      <c r="D186" s="327">
        <v>0.2</v>
      </c>
      <c r="E186" s="208">
        <v>1</v>
      </c>
      <c r="F186" s="380">
        <f>C186/E186*D186</f>
        <v>0.4</v>
      </c>
      <c r="G186" s="4" t="s">
        <v>404</v>
      </c>
      <c r="H186" s="4"/>
      <c r="I186" s="4"/>
      <c r="J186" s="208"/>
      <c r="K186" s="132"/>
      <c r="L186" s="335" t="s">
        <v>261</v>
      </c>
      <c r="M186" s="4" t="s">
        <v>405</v>
      </c>
      <c r="N186" s="132"/>
      <c r="O186" s="381">
        <v>6000000</v>
      </c>
      <c r="P186" s="4" t="s">
        <v>267</v>
      </c>
      <c r="Q186" s="4"/>
      <c r="R186" s="132"/>
      <c r="S186" s="4"/>
      <c r="V186" s="145"/>
    </row>
    <row r="187" spans="2:22" ht="15" thickBot="1" x14ac:dyDescent="0.25">
      <c r="B187" s="4"/>
      <c r="C187" s="131"/>
      <c r="D187" s="4"/>
      <c r="E187" s="4"/>
      <c r="F187" s="4"/>
      <c r="G187" s="4"/>
      <c r="H187" s="4"/>
      <c r="I187" s="4"/>
      <c r="J187" s="215"/>
      <c r="K187" s="132"/>
      <c r="L187" s="337" t="s">
        <v>406</v>
      </c>
      <c r="M187" s="201" t="s">
        <v>407</v>
      </c>
      <c r="N187" s="223"/>
      <c r="O187" s="131" t="s">
        <v>408</v>
      </c>
      <c r="P187" s="4"/>
      <c r="Q187" s="4"/>
      <c r="R187" s="132"/>
      <c r="S187" s="4"/>
      <c r="V187" s="149"/>
    </row>
    <row r="188" spans="2:22" x14ac:dyDescent="0.2">
      <c r="B188" s="4"/>
      <c r="C188" s="382" t="s">
        <v>409</v>
      </c>
      <c r="D188" s="4"/>
      <c r="E188" s="4"/>
      <c r="F188" s="4"/>
      <c r="G188" s="4"/>
      <c r="H188" s="4"/>
      <c r="I188" s="4"/>
      <c r="J188" s="4"/>
      <c r="K188" s="132"/>
      <c r="L188" s="333" t="s">
        <v>410</v>
      </c>
      <c r="M188" s="159" t="s">
        <v>411</v>
      </c>
      <c r="N188" s="161"/>
      <c r="O188" s="4" t="s">
        <v>412</v>
      </c>
      <c r="P188" s="4"/>
      <c r="Q188" s="4"/>
      <c r="R188" s="132"/>
      <c r="S188" s="4"/>
    </row>
    <row r="189" spans="2:22" ht="15" thickBot="1" x14ac:dyDescent="0.25">
      <c r="B189" s="4"/>
      <c r="C189" s="382" t="s">
        <v>413</v>
      </c>
      <c r="D189" s="4"/>
      <c r="E189" s="4"/>
      <c r="F189" s="4"/>
      <c r="G189" s="4"/>
      <c r="H189" s="4"/>
      <c r="I189" s="4"/>
      <c r="J189" s="4"/>
      <c r="K189" s="132"/>
      <c r="L189" s="335" t="s">
        <v>414</v>
      </c>
      <c r="M189" s="4" t="s">
        <v>415</v>
      </c>
      <c r="N189" s="132"/>
      <c r="O189" s="383">
        <f>O185/O177</f>
        <v>0.4</v>
      </c>
      <c r="P189" s="201"/>
      <c r="Q189" s="201"/>
      <c r="R189" s="223"/>
      <c r="S189" s="4"/>
    </row>
    <row r="190" spans="2:22" ht="15" thickBot="1" x14ac:dyDescent="0.25">
      <c r="B190" s="4"/>
      <c r="C190" s="200" t="s">
        <v>416</v>
      </c>
      <c r="D190" s="201"/>
      <c r="E190" s="201"/>
      <c r="F190" s="201"/>
      <c r="G190" s="201"/>
      <c r="H190" s="201"/>
      <c r="I190" s="201"/>
      <c r="J190" s="201"/>
      <c r="K190" s="223"/>
      <c r="L190" s="337" t="s">
        <v>417</v>
      </c>
      <c r="M190" s="201" t="s">
        <v>418</v>
      </c>
      <c r="N190" s="223"/>
      <c r="O190" s="4"/>
      <c r="P190" s="4"/>
      <c r="Q190" s="4"/>
      <c r="R190" s="4"/>
      <c r="S190" s="4"/>
    </row>
    <row r="191" spans="2:22" x14ac:dyDescent="0.2">
      <c r="B191" s="4"/>
      <c r="C191" s="4"/>
      <c r="D191" s="4"/>
      <c r="E191" s="4"/>
      <c r="F191" s="4"/>
      <c r="G191" s="4"/>
      <c r="H191" s="4"/>
      <c r="I191" s="4"/>
      <c r="J191" s="4"/>
      <c r="K191" s="4"/>
      <c r="L191" s="333" t="s">
        <v>419</v>
      </c>
      <c r="M191" s="159" t="s">
        <v>420</v>
      </c>
      <c r="N191" s="161"/>
      <c r="O191" s="4"/>
      <c r="P191" s="4"/>
      <c r="Q191" s="4"/>
      <c r="R191" s="4"/>
      <c r="S191" s="4"/>
    </row>
    <row r="192" spans="2:22" x14ac:dyDescent="0.2">
      <c r="B192" s="4"/>
      <c r="C192" s="4"/>
      <c r="D192" s="4" t="s">
        <v>307</v>
      </c>
      <c r="E192" s="208">
        <v>6000000</v>
      </c>
      <c r="F192" s="4"/>
      <c r="G192" s="4"/>
      <c r="H192" s="4"/>
      <c r="I192" s="384"/>
      <c r="J192" s="4"/>
      <c r="K192" s="4"/>
      <c r="L192" s="335" t="s">
        <v>417</v>
      </c>
      <c r="M192" s="4" t="s">
        <v>421</v>
      </c>
      <c r="N192" s="132"/>
      <c r="O192" s="162"/>
      <c r="P192" s="215"/>
      <c r="Q192" s="4"/>
      <c r="R192" s="4"/>
      <c r="S192" s="4"/>
    </row>
    <row r="193" spans="2:19" ht="15" thickBot="1" x14ac:dyDescent="0.25">
      <c r="B193" s="4"/>
      <c r="C193" s="4"/>
      <c r="D193" s="4" t="s">
        <v>174</v>
      </c>
      <c r="E193" s="208">
        <v>4000000</v>
      </c>
      <c r="F193" s="327">
        <f>E193/E194</f>
        <v>0.4</v>
      </c>
      <c r="G193" s="4" t="s">
        <v>422</v>
      </c>
      <c r="H193" s="4"/>
      <c r="I193" s="153"/>
      <c r="J193" s="4"/>
      <c r="K193" s="4"/>
      <c r="L193" s="335" t="s">
        <v>410</v>
      </c>
      <c r="M193" s="4" t="s">
        <v>423</v>
      </c>
      <c r="N193" s="132"/>
      <c r="O193" s="4"/>
      <c r="P193" s="4"/>
      <c r="Q193" s="4"/>
      <c r="R193" s="4"/>
      <c r="S193" s="4"/>
    </row>
    <row r="194" spans="2:19" x14ac:dyDescent="0.2">
      <c r="B194" s="4"/>
      <c r="C194" s="4"/>
      <c r="D194" s="4" t="s">
        <v>305</v>
      </c>
      <c r="E194" s="208">
        <v>10000000</v>
      </c>
      <c r="F194" s="4"/>
      <c r="G194" s="4"/>
      <c r="H194" s="4"/>
      <c r="I194" s="153"/>
      <c r="J194" s="4"/>
      <c r="K194" s="4"/>
      <c r="L194" s="235"/>
      <c r="M194" s="340" t="s">
        <v>424</v>
      </c>
      <c r="N194" s="159" t="s">
        <v>425</v>
      </c>
      <c r="O194" s="160"/>
      <c r="P194" s="161"/>
      <c r="Q194" s="4"/>
      <c r="R194" s="4"/>
      <c r="S194" s="4"/>
    </row>
    <row r="195" spans="2:19" x14ac:dyDescent="0.2">
      <c r="B195" s="4"/>
      <c r="C195" s="4"/>
      <c r="D195" s="4" t="s">
        <v>426</v>
      </c>
      <c r="E195" s="196">
        <v>0.08</v>
      </c>
      <c r="F195" s="4"/>
      <c r="G195" s="4"/>
      <c r="H195" s="4"/>
      <c r="I195" s="153"/>
      <c r="J195" s="4"/>
      <c r="K195" s="4"/>
      <c r="L195" s="131"/>
      <c r="M195" s="194" t="s">
        <v>427</v>
      </c>
      <c r="N195" s="4" t="s">
        <v>428</v>
      </c>
      <c r="O195" s="4"/>
      <c r="P195" s="385"/>
      <c r="Q195" s="4"/>
      <c r="R195" s="4"/>
      <c r="S195" s="4"/>
    </row>
    <row r="196" spans="2:19" ht="15" thickBot="1" x14ac:dyDescent="0.25">
      <c r="B196" s="4"/>
      <c r="C196" s="4"/>
      <c r="D196" s="4" t="s">
        <v>429</v>
      </c>
      <c r="E196" s="4" t="s">
        <v>430</v>
      </c>
      <c r="F196" s="4"/>
      <c r="G196" s="4"/>
      <c r="H196" s="4"/>
      <c r="I196" s="153"/>
      <c r="J196" s="4"/>
      <c r="K196" s="4"/>
      <c r="L196" s="200"/>
      <c r="M196" s="348" t="s">
        <v>431</v>
      </c>
      <c r="N196" s="201" t="s">
        <v>432</v>
      </c>
      <c r="O196" s="201"/>
      <c r="P196" s="223"/>
      <c r="Q196" s="4"/>
      <c r="R196" s="4"/>
      <c r="S196" s="4"/>
    </row>
    <row r="197" spans="2:19" ht="15" thickBot="1" x14ac:dyDescent="0.25">
      <c r="B197" s="4"/>
      <c r="C197" s="4"/>
      <c r="D197" s="4" t="s">
        <v>433</v>
      </c>
      <c r="E197" s="208">
        <v>20000000</v>
      </c>
      <c r="F197" s="4"/>
      <c r="G197" s="4" t="s">
        <v>434</v>
      </c>
      <c r="H197" s="4"/>
      <c r="I197" s="153"/>
      <c r="J197" s="4"/>
      <c r="K197" s="4"/>
      <c r="L197" s="386" t="s">
        <v>435</v>
      </c>
      <c r="M197" s="387" t="s">
        <v>436</v>
      </c>
      <c r="N197" s="388"/>
      <c r="O197" s="388"/>
      <c r="P197" s="272"/>
      <c r="Q197" s="4"/>
      <c r="R197" s="4"/>
      <c r="S197" s="4"/>
    </row>
    <row r="198" spans="2:19" x14ac:dyDescent="0.2">
      <c r="B198" s="4"/>
      <c r="C198" s="4"/>
      <c r="D198" s="254" t="s">
        <v>437</v>
      </c>
      <c r="E198" s="4"/>
      <c r="F198" s="4"/>
      <c r="G198" s="4"/>
      <c r="H198" s="4"/>
      <c r="I198" s="4"/>
      <c r="J198" s="4"/>
      <c r="K198" s="4"/>
      <c r="L198" s="4" t="s">
        <v>438</v>
      </c>
      <c r="M198" s="4"/>
      <c r="N198" s="4"/>
      <c r="O198" s="4"/>
      <c r="P198" s="4"/>
      <c r="Q198" s="4"/>
      <c r="R198" s="4"/>
      <c r="S198" s="4"/>
    </row>
    <row r="199" spans="2:19" x14ac:dyDescent="0.2">
      <c r="B199" s="4"/>
      <c r="C199" s="4"/>
      <c r="D199" s="4" t="s">
        <v>439</v>
      </c>
      <c r="E199" s="208">
        <f>E197</f>
        <v>20000000</v>
      </c>
      <c r="F199" s="4"/>
      <c r="G199" s="4"/>
      <c r="H199" s="4"/>
      <c r="I199" s="254"/>
      <c r="J199" s="4"/>
      <c r="K199" s="4"/>
      <c r="L199" s="4" t="s">
        <v>440</v>
      </c>
      <c r="M199" s="4"/>
      <c r="N199" s="4"/>
      <c r="O199" s="4"/>
      <c r="P199" s="4"/>
      <c r="Q199" s="4"/>
      <c r="R199" s="4"/>
      <c r="S199" s="4"/>
    </row>
    <row r="200" spans="2:19" x14ac:dyDescent="0.2">
      <c r="B200" s="4"/>
      <c r="C200" s="4"/>
      <c r="D200" s="4" t="s">
        <v>441</v>
      </c>
      <c r="E200" s="208">
        <v>250000</v>
      </c>
      <c r="F200" s="4"/>
      <c r="G200" s="4"/>
      <c r="H200" s="4"/>
      <c r="I200" s="4"/>
      <c r="J200" s="4"/>
      <c r="K200" s="4"/>
      <c r="L200" s="4" t="s">
        <v>442</v>
      </c>
      <c r="M200" s="4"/>
      <c r="N200" s="4"/>
      <c r="O200" s="4"/>
      <c r="P200" s="4"/>
      <c r="Q200" s="4"/>
      <c r="R200" s="4"/>
      <c r="S200" s="4"/>
    </row>
    <row r="201" spans="2:19" x14ac:dyDescent="0.2">
      <c r="B201" s="4"/>
      <c r="C201" s="4"/>
      <c r="D201" s="4" t="s">
        <v>443</v>
      </c>
      <c r="E201" s="208">
        <f>E193</f>
        <v>4000000</v>
      </c>
      <c r="F201" s="4"/>
      <c r="G201" s="4"/>
      <c r="H201" s="254"/>
      <c r="I201" s="4"/>
      <c r="J201" s="4"/>
      <c r="K201" s="4"/>
      <c r="L201" s="4" t="s">
        <v>444</v>
      </c>
      <c r="M201" s="4"/>
      <c r="N201" s="4"/>
      <c r="O201" s="4"/>
      <c r="P201" s="4"/>
      <c r="Q201" s="4"/>
      <c r="R201" s="4"/>
      <c r="S201" s="4"/>
    </row>
    <row r="202" spans="2:19" x14ac:dyDescent="0.2">
      <c r="B202" s="4"/>
      <c r="C202" s="4"/>
      <c r="D202" s="4" t="s">
        <v>445</v>
      </c>
      <c r="E202" s="212">
        <f>E201*E195*3</f>
        <v>960000</v>
      </c>
      <c r="F202" s="4" t="s">
        <v>446</v>
      </c>
      <c r="G202" s="4"/>
      <c r="H202" s="4"/>
      <c r="I202" s="4"/>
      <c r="J202" s="4"/>
      <c r="K202" s="4"/>
      <c r="L202" s="4" t="s">
        <v>447</v>
      </c>
      <c r="M202" s="4"/>
      <c r="N202" s="4"/>
      <c r="O202" s="4"/>
      <c r="P202" s="4"/>
      <c r="Q202" s="4"/>
      <c r="R202" s="4"/>
      <c r="S202" s="4"/>
    </row>
    <row r="203" spans="2:19" x14ac:dyDescent="0.2">
      <c r="B203" s="4"/>
      <c r="C203" s="4"/>
      <c r="D203" s="254" t="s">
        <v>448</v>
      </c>
      <c r="E203" s="389">
        <f>E199-E200-E201-E202</f>
        <v>14790000</v>
      </c>
      <c r="F203" s="4"/>
      <c r="G203" s="4"/>
      <c r="H203" s="4"/>
      <c r="I203" s="4"/>
      <c r="J203" s="4"/>
      <c r="K203" s="4"/>
      <c r="L203" s="4" t="s">
        <v>449</v>
      </c>
      <c r="M203" s="4"/>
      <c r="N203" s="4"/>
      <c r="O203" s="4"/>
      <c r="P203" s="4"/>
      <c r="Q203" s="4"/>
      <c r="R203" s="4"/>
      <c r="S203" s="4"/>
    </row>
    <row r="204" spans="2:19" x14ac:dyDescent="0.2">
      <c r="B204" s="4"/>
      <c r="C204" s="4"/>
      <c r="D204" s="4" t="s">
        <v>450</v>
      </c>
      <c r="E204" s="208">
        <f>E203*F204</f>
        <v>5916000</v>
      </c>
      <c r="F204" s="196">
        <f>F193</f>
        <v>0.4</v>
      </c>
      <c r="G204" s="4"/>
      <c r="H204" s="4"/>
      <c r="I204" s="4"/>
      <c r="J204" s="4"/>
      <c r="K204" s="4"/>
      <c r="L204" s="4"/>
      <c r="M204" s="4"/>
      <c r="N204" s="4"/>
      <c r="O204" s="4"/>
      <c r="P204" s="4"/>
      <c r="Q204" s="4"/>
      <c r="R204" s="4"/>
      <c r="S204" s="4"/>
    </row>
    <row r="205" spans="2:19" x14ac:dyDescent="0.2">
      <c r="B205" s="4"/>
      <c r="C205" s="4"/>
      <c r="D205" s="4" t="s">
        <v>451</v>
      </c>
      <c r="E205" s="209">
        <f>E203*(1-F193)</f>
        <v>8874000</v>
      </c>
      <c r="F205" s="4" t="s">
        <v>452</v>
      </c>
      <c r="G205" s="4"/>
      <c r="H205" s="4"/>
      <c r="I205" s="4"/>
      <c r="J205" s="4"/>
      <c r="K205" s="4"/>
      <c r="L205" s="4" t="s">
        <v>453</v>
      </c>
      <c r="M205" s="4"/>
      <c r="N205" s="4"/>
      <c r="O205" s="4"/>
      <c r="P205" s="4"/>
      <c r="Q205" s="4"/>
      <c r="R205" s="4"/>
      <c r="S205" s="4"/>
    </row>
    <row r="206" spans="2:19" x14ac:dyDescent="0.2">
      <c r="B206" s="4"/>
      <c r="C206" s="4"/>
      <c r="D206" s="191" t="s">
        <v>454</v>
      </c>
      <c r="E206" s="191"/>
      <c r="F206" s="191"/>
      <c r="G206" s="191"/>
      <c r="H206" s="4"/>
      <c r="I206" s="208"/>
      <c r="J206" s="249"/>
      <c r="K206" s="4"/>
      <c r="L206" s="4" t="s">
        <v>455</v>
      </c>
      <c r="M206" s="4"/>
      <c r="N206" s="4"/>
      <c r="O206" s="4"/>
      <c r="P206" s="4"/>
      <c r="Q206" s="4"/>
      <c r="R206" s="4"/>
      <c r="S206" s="4"/>
    </row>
    <row r="207" spans="2:19" x14ac:dyDescent="0.2">
      <c r="B207" s="4"/>
      <c r="C207" s="4"/>
      <c r="D207" s="249" t="s">
        <v>456</v>
      </c>
      <c r="E207" s="390">
        <v>600000</v>
      </c>
      <c r="F207" s="249"/>
      <c r="G207" s="191"/>
      <c r="H207" s="4"/>
      <c r="I207" s="208"/>
      <c r="J207" s="249"/>
      <c r="K207" s="4"/>
      <c r="L207" s="4" t="s">
        <v>457</v>
      </c>
      <c r="M207" s="4"/>
      <c r="N207" s="4"/>
      <c r="O207" s="4"/>
      <c r="P207" s="4"/>
      <c r="Q207" s="4"/>
      <c r="R207" s="4"/>
      <c r="S207" s="4"/>
    </row>
    <row r="208" spans="2:19" x14ac:dyDescent="0.2">
      <c r="B208" s="4"/>
      <c r="C208" s="4"/>
      <c r="D208" s="249" t="s">
        <v>458</v>
      </c>
      <c r="E208" s="391">
        <v>0.08</v>
      </c>
      <c r="F208" s="249"/>
      <c r="G208" s="191"/>
      <c r="H208" s="4"/>
      <c r="I208" s="208"/>
      <c r="J208" s="191"/>
      <c r="K208" s="4"/>
      <c r="L208" s="4"/>
      <c r="M208" s="4"/>
      <c r="N208" s="4"/>
      <c r="O208" s="4"/>
      <c r="P208" s="4"/>
      <c r="Q208" s="4"/>
      <c r="R208" s="4"/>
      <c r="S208" s="4"/>
    </row>
    <row r="209" spans="2:19" x14ac:dyDescent="0.2">
      <c r="B209" s="4"/>
      <c r="C209" s="4"/>
      <c r="D209" s="249" t="s">
        <v>459</v>
      </c>
      <c r="E209" s="392">
        <f>E208*E207</f>
        <v>48000</v>
      </c>
      <c r="F209" s="249"/>
      <c r="G209" s="191"/>
      <c r="H209" s="4"/>
      <c r="I209" s="208"/>
      <c r="J209" s="191"/>
      <c r="K209" s="4"/>
      <c r="L209" s="162" t="s">
        <v>261</v>
      </c>
      <c r="M209" s="215">
        <f>D17</f>
        <v>9130211.25</v>
      </c>
      <c r="N209" s="4"/>
      <c r="O209" s="4"/>
      <c r="P209" s="4"/>
      <c r="Q209" s="4"/>
      <c r="R209" s="4"/>
      <c r="S209" s="4"/>
    </row>
    <row r="210" spans="2:19" x14ac:dyDescent="0.2">
      <c r="B210" s="4"/>
      <c r="C210" s="4"/>
      <c r="D210" s="249" t="s">
        <v>459</v>
      </c>
      <c r="E210" s="390">
        <f>E207+E209</f>
        <v>648000</v>
      </c>
      <c r="F210" s="249"/>
      <c r="G210" s="191"/>
      <c r="H210" s="191"/>
      <c r="I210" s="191"/>
      <c r="J210" s="191"/>
      <c r="K210" s="4"/>
      <c r="L210" s="162" t="s">
        <v>460</v>
      </c>
      <c r="M210" s="196">
        <v>0.15</v>
      </c>
      <c r="N210" s="4"/>
      <c r="O210" s="4"/>
      <c r="P210" s="4"/>
      <c r="Q210" s="4"/>
      <c r="R210" s="4"/>
      <c r="S210" s="4"/>
    </row>
    <row r="211" spans="2:19" x14ac:dyDescent="0.2">
      <c r="B211" s="4"/>
      <c r="C211" s="4"/>
      <c r="D211" s="249"/>
      <c r="E211" s="249"/>
      <c r="F211" s="191" t="s">
        <v>437</v>
      </c>
      <c r="G211" s="191"/>
      <c r="H211" s="191"/>
      <c r="I211" s="191"/>
      <c r="J211" s="191"/>
      <c r="K211" s="4"/>
      <c r="L211" s="4"/>
      <c r="M211" s="265" t="s">
        <v>244</v>
      </c>
      <c r="N211" s="265" t="s">
        <v>309</v>
      </c>
      <c r="O211" s="265" t="s">
        <v>262</v>
      </c>
      <c r="P211" s="4"/>
      <c r="Q211" s="4"/>
      <c r="R211" s="4"/>
      <c r="S211" s="4"/>
    </row>
    <row r="212" spans="2:19" x14ac:dyDescent="0.2">
      <c r="B212" s="4"/>
      <c r="C212" s="4"/>
      <c r="D212" s="249"/>
      <c r="E212" s="191"/>
      <c r="F212" s="393" t="s">
        <v>461</v>
      </c>
      <c r="G212" s="394">
        <v>20000000</v>
      </c>
      <c r="H212" s="191"/>
      <c r="I212" s="191"/>
      <c r="J212" s="395"/>
      <c r="K212" s="4"/>
      <c r="L212" s="277" t="s">
        <v>251</v>
      </c>
      <c r="M212" s="218">
        <f>O212-N212</f>
        <v>0.85</v>
      </c>
      <c r="N212" s="218">
        <f>M210</f>
        <v>0.15</v>
      </c>
      <c r="O212" s="218">
        <v>1</v>
      </c>
      <c r="P212" s="4"/>
      <c r="Q212" s="4"/>
      <c r="R212" s="4"/>
      <c r="S212" s="4"/>
    </row>
    <row r="213" spans="2:19" x14ac:dyDescent="0.2">
      <c r="B213" s="4"/>
      <c r="C213" s="4"/>
      <c r="D213" s="191"/>
      <c r="E213" s="191"/>
      <c r="F213" s="242" t="s">
        <v>441</v>
      </c>
      <c r="G213" s="394">
        <v>250000</v>
      </c>
      <c r="H213" s="191"/>
      <c r="I213" s="191"/>
      <c r="J213" s="191"/>
      <c r="K213" s="4"/>
      <c r="L213" s="277" t="s">
        <v>462</v>
      </c>
      <c r="M213" s="208">
        <f>O213-N213</f>
        <v>51737863.75</v>
      </c>
      <c r="N213" s="208">
        <f>M209</f>
        <v>9130211.25</v>
      </c>
      <c r="O213" s="208">
        <f>N213/N212</f>
        <v>60868075</v>
      </c>
      <c r="P213" s="4"/>
      <c r="Q213" s="4"/>
      <c r="R213" s="4"/>
      <c r="S213" s="4"/>
    </row>
    <row r="214" spans="2:19" x14ac:dyDescent="0.2">
      <c r="B214" s="4"/>
      <c r="C214" s="4"/>
      <c r="D214" s="191"/>
      <c r="E214" s="191"/>
      <c r="F214" s="242" t="s">
        <v>463</v>
      </c>
      <c r="G214" s="394">
        <f>E210</f>
        <v>648000</v>
      </c>
      <c r="H214" s="396" t="s">
        <v>464</v>
      </c>
      <c r="I214" s="392">
        <f>E192</f>
        <v>6000000</v>
      </c>
      <c r="J214" s="249"/>
      <c r="K214" s="4"/>
      <c r="L214" s="4"/>
      <c r="M214" s="4"/>
      <c r="N214" s="4"/>
      <c r="O214" s="4"/>
      <c r="P214" s="4"/>
      <c r="Q214" s="4"/>
      <c r="R214" s="4"/>
      <c r="S214" s="4"/>
    </row>
    <row r="215" spans="2:19" x14ac:dyDescent="0.2">
      <c r="B215" s="4"/>
      <c r="C215" s="4"/>
      <c r="D215" s="191"/>
      <c r="E215" s="191"/>
      <c r="F215" s="249" t="s">
        <v>465</v>
      </c>
      <c r="G215" s="390">
        <f>E193</f>
        <v>4000000</v>
      </c>
      <c r="H215" s="393" t="s">
        <v>456</v>
      </c>
      <c r="I215" s="394">
        <f>G214</f>
        <v>648000</v>
      </c>
      <c r="J215" s="397">
        <f>I215/I218</f>
        <v>6.0856498873027798E-2</v>
      </c>
      <c r="K215" s="4"/>
      <c r="L215" s="4" t="s">
        <v>466</v>
      </c>
      <c r="M215" s="4"/>
      <c r="N215" s="4"/>
      <c r="O215" s="4"/>
      <c r="P215" s="4"/>
      <c r="Q215" s="4"/>
      <c r="R215" s="4"/>
      <c r="S215" s="4"/>
    </row>
    <row r="216" spans="2:19" x14ac:dyDescent="0.2">
      <c r="B216" s="4"/>
      <c r="C216" s="4"/>
      <c r="D216" s="191"/>
      <c r="E216" s="249"/>
      <c r="F216" s="242" t="s">
        <v>167</v>
      </c>
      <c r="G216" s="394">
        <f>E207*E195*4</f>
        <v>192000</v>
      </c>
      <c r="H216" s="242" t="s">
        <v>467</v>
      </c>
      <c r="I216" s="394">
        <f>E193</f>
        <v>4000000</v>
      </c>
      <c r="J216" s="397">
        <f>I216/I218</f>
        <v>0.37565740045078888</v>
      </c>
      <c r="K216" s="195"/>
      <c r="L216" s="4" t="s">
        <v>468</v>
      </c>
      <c r="M216" s="4"/>
      <c r="N216" s="4"/>
      <c r="O216" s="4"/>
      <c r="P216" s="4"/>
      <c r="Q216" s="4"/>
      <c r="R216" s="4"/>
      <c r="S216" s="4"/>
    </row>
    <row r="217" spans="2:19" x14ac:dyDescent="0.2">
      <c r="B217" s="4"/>
      <c r="C217" s="4"/>
      <c r="D217" s="191"/>
      <c r="E217" s="249"/>
      <c r="F217" s="242" t="s">
        <v>172</v>
      </c>
      <c r="G217" s="392">
        <f>E193*E195*3</f>
        <v>960000</v>
      </c>
      <c r="H217" s="396" t="s">
        <v>302</v>
      </c>
      <c r="I217" s="398"/>
      <c r="J217" s="399">
        <f>SUM(J215:J216)</f>
        <v>0.43651389932381668</v>
      </c>
      <c r="K217" s="4"/>
      <c r="L217" s="4" t="s">
        <v>469</v>
      </c>
      <c r="M217" s="4"/>
      <c r="N217" s="4"/>
      <c r="O217" s="4"/>
      <c r="P217" s="4"/>
      <c r="Q217" s="4"/>
      <c r="R217" s="4"/>
      <c r="S217" s="4"/>
    </row>
    <row r="218" spans="2:19" x14ac:dyDescent="0.2">
      <c r="B218" s="4"/>
      <c r="C218" s="4"/>
      <c r="D218" s="191"/>
      <c r="E218" s="249"/>
      <c r="F218" s="400" t="s">
        <v>470</v>
      </c>
      <c r="G218" s="401">
        <f>G212-G213-G214-G215-G216-G217</f>
        <v>13950000</v>
      </c>
      <c r="H218" s="393" t="s">
        <v>471</v>
      </c>
      <c r="I218" s="394">
        <f>I214+I215+I216</f>
        <v>10648000</v>
      </c>
      <c r="J218" s="402"/>
      <c r="K218" s="4"/>
      <c r="L218" s="4"/>
      <c r="M218" s="4"/>
      <c r="N218" s="4"/>
      <c r="O218" s="4"/>
      <c r="P218" s="4"/>
      <c r="Q218" s="4"/>
      <c r="R218" s="4"/>
      <c r="S218" s="4"/>
    </row>
    <row r="219" spans="2:19" x14ac:dyDescent="0.2">
      <c r="B219" s="4"/>
      <c r="C219" s="4"/>
      <c r="D219" s="191"/>
      <c r="E219" s="191"/>
      <c r="F219" s="393" t="s">
        <v>472</v>
      </c>
      <c r="G219" s="249"/>
      <c r="H219" s="249"/>
      <c r="I219" s="403"/>
      <c r="J219" s="404"/>
      <c r="K219" s="4"/>
      <c r="L219" s="277" t="s">
        <v>473</v>
      </c>
      <c r="M219" s="265" t="s">
        <v>244</v>
      </c>
      <c r="N219" s="265" t="s">
        <v>474</v>
      </c>
      <c r="O219" s="265" t="s">
        <v>262</v>
      </c>
      <c r="P219" s="4"/>
      <c r="Q219" s="4"/>
      <c r="R219" s="4"/>
      <c r="S219" s="4"/>
    </row>
    <row r="220" spans="2:19" x14ac:dyDescent="0.2">
      <c r="B220" s="4"/>
      <c r="C220" s="4"/>
      <c r="D220" s="191"/>
      <c r="E220" s="191"/>
      <c r="F220" s="242" t="s">
        <v>475</v>
      </c>
      <c r="G220" s="405">
        <v>777935</v>
      </c>
      <c r="H220" s="397">
        <v>5.2200000000000003E-2</v>
      </c>
      <c r="I220" s="406"/>
      <c r="J220" s="407"/>
      <c r="K220" s="4"/>
      <c r="L220" s="277" t="s">
        <v>251</v>
      </c>
      <c r="M220" s="218">
        <v>1</v>
      </c>
      <c r="N220" s="408" t="s">
        <v>476</v>
      </c>
      <c r="O220" s="218">
        <v>1</v>
      </c>
      <c r="P220" s="4"/>
      <c r="Q220" s="4"/>
      <c r="R220" s="4"/>
      <c r="S220" s="4"/>
    </row>
    <row r="221" spans="2:19" x14ac:dyDescent="0.2">
      <c r="B221" s="4"/>
      <c r="C221" s="4"/>
      <c r="D221" s="191"/>
      <c r="E221" s="191"/>
      <c r="F221" s="396" t="s">
        <v>477</v>
      </c>
      <c r="G221" s="409">
        <v>4802065</v>
      </c>
      <c r="H221" s="397">
        <v>0.3478</v>
      </c>
      <c r="I221" s="410"/>
      <c r="J221" s="411"/>
      <c r="K221" s="4"/>
      <c r="L221" s="277" t="s">
        <v>462</v>
      </c>
      <c r="M221" s="412" t="s">
        <v>476</v>
      </c>
      <c r="N221" s="412" t="s">
        <v>478</v>
      </c>
      <c r="O221" s="412" t="s">
        <v>476</v>
      </c>
      <c r="P221" s="4"/>
      <c r="Q221" s="4"/>
      <c r="R221" s="4"/>
      <c r="S221" s="4"/>
    </row>
    <row r="222" spans="2:19" x14ac:dyDescent="0.2">
      <c r="B222" s="4"/>
      <c r="C222" s="4"/>
      <c r="D222" s="191"/>
      <c r="E222" s="191"/>
      <c r="F222" s="400" t="s">
        <v>479</v>
      </c>
      <c r="G222" s="413">
        <v>5580000</v>
      </c>
      <c r="H222" s="399">
        <f>SUM(H220:H221)</f>
        <v>0.4</v>
      </c>
      <c r="I222" s="414"/>
      <c r="J222" s="415"/>
      <c r="K222" s="4"/>
      <c r="L222" s="4"/>
      <c r="M222" s="4"/>
      <c r="N222" s="4"/>
      <c r="O222" s="4"/>
      <c r="P222" s="4"/>
      <c r="Q222" s="4"/>
      <c r="R222" s="4"/>
      <c r="S222" s="4"/>
    </row>
    <row r="223" spans="2:19" x14ac:dyDescent="0.2">
      <c r="B223" s="4"/>
      <c r="C223" s="4"/>
      <c r="D223" s="191"/>
      <c r="E223" s="191"/>
      <c r="F223" s="396" t="s">
        <v>186</v>
      </c>
      <c r="G223" s="409">
        <v>8370000</v>
      </c>
      <c r="H223" s="191"/>
      <c r="I223" s="416"/>
      <c r="J223" s="415"/>
      <c r="K223" s="4"/>
      <c r="L223" s="162" t="s">
        <v>456</v>
      </c>
      <c r="M223" s="215">
        <f>D14</f>
        <v>4780967.5</v>
      </c>
      <c r="N223" s="4" t="s">
        <v>480</v>
      </c>
      <c r="O223" s="4"/>
      <c r="P223" s="4"/>
      <c r="Q223" s="4"/>
      <c r="R223" s="4"/>
      <c r="S223" s="4"/>
    </row>
    <row r="224" spans="2:19" x14ac:dyDescent="0.2">
      <c r="B224" s="4"/>
      <c r="C224" s="4"/>
      <c r="D224" s="191"/>
      <c r="E224" s="191"/>
      <c r="F224" s="400" t="s">
        <v>189</v>
      </c>
      <c r="G224" s="413">
        <v>20000000</v>
      </c>
      <c r="H224" s="395"/>
      <c r="I224" s="417"/>
      <c r="J224" s="390"/>
      <c r="K224" s="4"/>
      <c r="L224" s="162" t="s">
        <v>481</v>
      </c>
      <c r="M224" s="218">
        <v>0.2</v>
      </c>
      <c r="N224" s="4"/>
      <c r="O224" s="4"/>
      <c r="P224" s="4"/>
      <c r="Q224" s="4"/>
      <c r="R224" s="4"/>
      <c r="S224" s="4"/>
    </row>
    <row r="225" spans="2:19" ht="15" thickBot="1" x14ac:dyDescent="0.25">
      <c r="B225" s="4"/>
      <c r="C225" s="4"/>
      <c r="D225" s="191"/>
      <c r="E225" s="191"/>
      <c r="F225" s="191"/>
      <c r="G225" s="191"/>
      <c r="H225" s="394"/>
      <c r="I225" s="395"/>
      <c r="J225" s="418"/>
      <c r="K225" s="4"/>
      <c r="L225" s="162" t="s">
        <v>174</v>
      </c>
      <c r="M225" s="215">
        <f>D17</f>
        <v>9130211.25</v>
      </c>
      <c r="N225" s="4" t="s">
        <v>480</v>
      </c>
      <c r="O225" s="4"/>
      <c r="P225" s="4"/>
      <c r="Q225" s="4"/>
      <c r="R225" s="4"/>
      <c r="S225" s="4"/>
    </row>
    <row r="226" spans="2:19" x14ac:dyDescent="0.2">
      <c r="B226" s="4"/>
      <c r="C226" s="4"/>
      <c r="D226" s="224" t="s">
        <v>482</v>
      </c>
      <c r="E226" s="159"/>
      <c r="F226" s="159"/>
      <c r="G226" s="159"/>
      <c r="H226" s="419"/>
      <c r="I226" s="4"/>
      <c r="J226" s="4"/>
      <c r="K226" s="4"/>
      <c r="L226" s="162" t="s">
        <v>250</v>
      </c>
      <c r="M226" s="299">
        <f>D8</f>
        <v>11725000</v>
      </c>
      <c r="N226" s="4" t="s">
        <v>483</v>
      </c>
      <c r="O226" s="4"/>
      <c r="P226" s="4"/>
      <c r="Q226" s="4"/>
      <c r="R226" s="4"/>
      <c r="S226" s="4"/>
    </row>
    <row r="227" spans="2:19" ht="15" thickBot="1" x14ac:dyDescent="0.25">
      <c r="B227" s="4"/>
      <c r="C227" s="4"/>
      <c r="D227" s="200" t="s">
        <v>484</v>
      </c>
      <c r="E227" s="221"/>
      <c r="F227" s="201"/>
      <c r="G227" s="201"/>
      <c r="H227" s="420"/>
      <c r="I227" s="4"/>
      <c r="J227" s="4"/>
      <c r="K227" s="4"/>
      <c r="L227" s="162" t="s">
        <v>485</v>
      </c>
      <c r="M227" s="299">
        <v>5000000</v>
      </c>
      <c r="N227" s="4" t="s">
        <v>486</v>
      </c>
      <c r="O227" s="4"/>
      <c r="P227" s="4"/>
      <c r="Q227" s="4"/>
      <c r="R227" s="4"/>
      <c r="S227" s="4"/>
    </row>
    <row r="228" spans="2:19" ht="15" thickBot="1" x14ac:dyDescent="0.25">
      <c r="B228" s="4"/>
      <c r="C228" s="4"/>
      <c r="D228" s="4"/>
      <c r="E228" s="4"/>
      <c r="F228" s="4"/>
      <c r="G228" s="4"/>
      <c r="H228" s="4"/>
      <c r="I228" s="4"/>
      <c r="J228" s="4"/>
      <c r="K228" s="4"/>
      <c r="L228" s="162" t="s">
        <v>487</v>
      </c>
      <c r="M228" s="299">
        <v>5000000</v>
      </c>
      <c r="N228" s="4" t="s">
        <v>486</v>
      </c>
      <c r="O228" s="4"/>
      <c r="P228" s="4"/>
      <c r="Q228" s="4"/>
      <c r="R228" s="4"/>
      <c r="S228" s="4"/>
    </row>
    <row r="229" spans="2:19" x14ac:dyDescent="0.2">
      <c r="B229" s="4"/>
      <c r="C229" s="4"/>
      <c r="D229" s="301" t="s">
        <v>488</v>
      </c>
      <c r="E229" s="159"/>
      <c r="F229" s="159"/>
      <c r="G229" s="159"/>
      <c r="H229" s="159"/>
      <c r="I229" s="161"/>
      <c r="J229" s="4"/>
      <c r="K229" s="4"/>
      <c r="L229" s="4"/>
      <c r="M229" s="4"/>
      <c r="N229" s="4"/>
      <c r="O229" s="4"/>
      <c r="P229" s="4"/>
      <c r="Q229" s="4"/>
      <c r="R229" s="4"/>
      <c r="S229" s="4"/>
    </row>
    <row r="230" spans="2:19" x14ac:dyDescent="0.2">
      <c r="B230" s="4"/>
      <c r="C230" s="4"/>
      <c r="D230" s="421" t="s">
        <v>489</v>
      </c>
      <c r="E230" s="191"/>
      <c r="F230" s="191"/>
      <c r="G230" s="191"/>
      <c r="H230" s="191"/>
      <c r="I230" s="422"/>
      <c r="J230" s="4"/>
      <c r="K230" s="4"/>
      <c r="L230" s="265" t="s">
        <v>490</v>
      </c>
      <c r="M230" s="265" t="s">
        <v>244</v>
      </c>
      <c r="N230" s="265" t="s">
        <v>174</v>
      </c>
      <c r="O230" s="265" t="s">
        <v>262</v>
      </c>
      <c r="P230" s="4"/>
      <c r="Q230" s="4"/>
      <c r="R230" s="4"/>
      <c r="S230" s="4"/>
    </row>
    <row r="231" spans="2:19" x14ac:dyDescent="0.2">
      <c r="B231" s="4"/>
      <c r="C231" s="4"/>
      <c r="D231" s="421" t="s">
        <v>491</v>
      </c>
      <c r="E231" s="191"/>
      <c r="F231" s="191"/>
      <c r="G231" s="191"/>
      <c r="H231" s="4"/>
      <c r="I231" s="132"/>
      <c r="J231" s="4"/>
      <c r="K231" s="4"/>
      <c r="L231" s="4"/>
      <c r="M231" s="171">
        <f>M226</f>
        <v>11725000</v>
      </c>
      <c r="N231" s="408" t="s">
        <v>476</v>
      </c>
      <c r="O231" s="171" t="s">
        <v>492</v>
      </c>
      <c r="P231" s="4"/>
      <c r="Q231" s="4"/>
      <c r="R231" s="4"/>
      <c r="S231" s="4"/>
    </row>
    <row r="232" spans="2:19" x14ac:dyDescent="0.2">
      <c r="B232" s="4"/>
      <c r="C232" s="4"/>
      <c r="D232" s="241"/>
      <c r="E232" s="423" t="s">
        <v>493</v>
      </c>
      <c r="F232" s="424">
        <v>20000000</v>
      </c>
      <c r="G232" s="247"/>
      <c r="H232" s="4"/>
      <c r="I232" s="132"/>
      <c r="J232" s="4"/>
      <c r="K232" s="4"/>
      <c r="L232" s="4"/>
      <c r="M232" s="4"/>
      <c r="N232" s="4"/>
      <c r="O232" s="4"/>
      <c r="P232" s="4"/>
      <c r="Q232" s="4"/>
      <c r="R232" s="4"/>
      <c r="S232" s="4"/>
    </row>
    <row r="233" spans="2:19" x14ac:dyDescent="0.2">
      <c r="B233" s="4"/>
      <c r="C233" s="4"/>
      <c r="D233" s="241"/>
      <c r="E233" s="423" t="s">
        <v>309</v>
      </c>
      <c r="F233" s="425">
        <v>5000000</v>
      </c>
      <c r="G233" s="327">
        <f>F233/F234</f>
        <v>0.2</v>
      </c>
      <c r="H233" s="4"/>
      <c r="I233" s="132"/>
      <c r="J233" s="4"/>
      <c r="K233" s="4"/>
      <c r="L233" s="4" t="s">
        <v>494</v>
      </c>
      <c r="M233" s="4"/>
      <c r="N233" s="4"/>
      <c r="O233" s="4"/>
      <c r="P233" s="4"/>
      <c r="Q233" s="4"/>
      <c r="R233" s="4"/>
      <c r="S233" s="4"/>
    </row>
    <row r="234" spans="2:19" x14ac:dyDescent="0.2">
      <c r="B234" s="4"/>
      <c r="C234" s="4"/>
      <c r="D234" s="241"/>
      <c r="E234" s="423" t="s">
        <v>495</v>
      </c>
      <c r="F234" s="424">
        <f>SUM(F232:F233)</f>
        <v>25000000</v>
      </c>
      <c r="G234" s="247"/>
      <c r="H234" s="4"/>
      <c r="I234" s="132"/>
      <c r="J234" s="4"/>
      <c r="K234" s="4"/>
      <c r="L234" s="4"/>
      <c r="M234" s="4"/>
      <c r="N234" s="4"/>
      <c r="O234" s="4"/>
      <c r="P234" s="4"/>
      <c r="Q234" s="4"/>
      <c r="R234" s="4"/>
      <c r="S234" s="4"/>
    </row>
    <row r="235" spans="2:19" x14ac:dyDescent="0.2">
      <c r="B235" s="4"/>
      <c r="C235" s="4"/>
      <c r="D235" s="131"/>
      <c r="E235" s="277" t="s">
        <v>496</v>
      </c>
      <c r="F235" s="389">
        <v>40000000</v>
      </c>
      <c r="G235" s="209"/>
      <c r="H235" s="4"/>
      <c r="I235" s="132"/>
      <c r="J235" s="4"/>
      <c r="K235" s="4"/>
      <c r="L235" s="265" t="s">
        <v>490</v>
      </c>
      <c r="M235" s="265" t="s">
        <v>244</v>
      </c>
      <c r="N235" s="265" t="s">
        <v>174</v>
      </c>
      <c r="O235" s="265" t="s">
        <v>262</v>
      </c>
      <c r="P235" s="4"/>
      <c r="Q235" s="4"/>
      <c r="R235" s="4"/>
      <c r="S235" s="4"/>
    </row>
    <row r="236" spans="2:19" x14ac:dyDescent="0.2">
      <c r="B236" s="4"/>
      <c r="C236" s="4"/>
      <c r="D236" s="131"/>
      <c r="E236" s="162" t="s">
        <v>497</v>
      </c>
      <c r="F236" s="212">
        <f>F233</f>
        <v>5000000</v>
      </c>
      <c r="G236" s="208"/>
      <c r="H236" s="4"/>
      <c r="I236" s="132"/>
      <c r="J236" s="4"/>
      <c r="K236" s="4"/>
      <c r="L236" s="162" t="s">
        <v>251</v>
      </c>
      <c r="M236" s="426">
        <f>O236-N236</f>
        <v>0.85</v>
      </c>
      <c r="N236" s="218">
        <f>M210</f>
        <v>0.15</v>
      </c>
      <c r="O236" s="426">
        <v>1</v>
      </c>
      <c r="P236" s="4"/>
      <c r="Q236" s="4"/>
      <c r="R236" s="4"/>
      <c r="S236" s="4"/>
    </row>
    <row r="237" spans="2:19" x14ac:dyDescent="0.2">
      <c r="B237" s="4"/>
      <c r="C237" s="4"/>
      <c r="D237" s="131"/>
      <c r="E237" s="277" t="s">
        <v>498</v>
      </c>
      <c r="F237" s="389">
        <f>F235-F236</f>
        <v>35000000</v>
      </c>
      <c r="G237" s="427"/>
      <c r="H237" s="4"/>
      <c r="I237" s="132"/>
      <c r="J237" s="4"/>
      <c r="K237" s="4"/>
      <c r="L237" s="4" t="s">
        <v>499</v>
      </c>
      <c r="M237" s="171">
        <f>M226</f>
        <v>11725000</v>
      </c>
      <c r="N237" s="171">
        <f>N236*O237</f>
        <v>2069117.6470588236</v>
      </c>
      <c r="O237" s="171">
        <f>M237/M236</f>
        <v>13794117.647058824</v>
      </c>
      <c r="P237" s="4"/>
      <c r="Q237" s="4"/>
      <c r="R237" s="4"/>
      <c r="S237" s="4"/>
    </row>
    <row r="238" spans="2:19" x14ac:dyDescent="0.2">
      <c r="B238" s="4"/>
      <c r="C238" s="4"/>
      <c r="D238" s="131"/>
      <c r="E238" s="162" t="s">
        <v>500</v>
      </c>
      <c r="F238" s="212">
        <f>G233*F237</f>
        <v>7000000</v>
      </c>
      <c r="G238" s="255" t="s">
        <v>501</v>
      </c>
      <c r="H238" s="4"/>
      <c r="I238" s="132"/>
      <c r="J238" s="4"/>
      <c r="K238" s="4"/>
      <c r="L238" s="4" t="s">
        <v>502</v>
      </c>
      <c r="M238" s="4"/>
      <c r="N238" s="4"/>
      <c r="O238" s="4"/>
      <c r="P238" s="4"/>
      <c r="Q238" s="4"/>
      <c r="R238" s="4"/>
      <c r="S238" s="4"/>
    </row>
    <row r="239" spans="2:19" ht="15" thickBot="1" x14ac:dyDescent="0.25">
      <c r="B239" s="4"/>
      <c r="C239" s="4"/>
      <c r="D239" s="131"/>
      <c r="E239" s="162"/>
      <c r="F239" s="208">
        <f>F237-F238</f>
        <v>28000000</v>
      </c>
      <c r="G239" s="209" t="s">
        <v>503</v>
      </c>
      <c r="H239" s="4"/>
      <c r="I239" s="132"/>
      <c r="J239" s="4"/>
      <c r="K239" s="4"/>
      <c r="L239" s="162" t="s">
        <v>253</v>
      </c>
      <c r="M239" s="4"/>
      <c r="N239" s="326">
        <f>M225/N237</f>
        <v>4.4126109808102347</v>
      </c>
      <c r="O239" s="4"/>
      <c r="P239" s="4"/>
      <c r="Q239" s="4"/>
      <c r="R239" s="4"/>
      <c r="S239" s="4"/>
    </row>
    <row r="240" spans="2:19" ht="15" thickBot="1" x14ac:dyDescent="0.25">
      <c r="B240" s="4"/>
      <c r="C240" s="4"/>
      <c r="D240" s="428">
        <f>F240/F233</f>
        <v>2.4</v>
      </c>
      <c r="E240" s="429" t="s">
        <v>504</v>
      </c>
      <c r="F240" s="430">
        <f>F236+F238</f>
        <v>12000000</v>
      </c>
      <c r="G240" s="343">
        <f>F240/F235</f>
        <v>0.3</v>
      </c>
      <c r="H240" s="201" t="s">
        <v>505</v>
      </c>
      <c r="I240" s="223"/>
      <c r="J240" s="4"/>
      <c r="K240" s="4"/>
      <c r="L240" s="4"/>
      <c r="M240" s="4"/>
      <c r="N240" s="4"/>
      <c r="O240" s="4"/>
      <c r="P240" s="4"/>
      <c r="Q240" s="4"/>
      <c r="R240" s="4"/>
      <c r="S240" s="4"/>
    </row>
    <row r="241" spans="2:19" x14ac:dyDescent="0.2">
      <c r="B241" s="4"/>
      <c r="C241" s="4"/>
      <c r="D241" s="301" t="s">
        <v>506</v>
      </c>
      <c r="E241" s="159"/>
      <c r="F241" s="159"/>
      <c r="G241" s="159"/>
      <c r="H241" s="159"/>
      <c r="I241" s="161"/>
      <c r="J241" s="4"/>
      <c r="K241" s="4"/>
      <c r="L241" s="4" t="s">
        <v>507</v>
      </c>
      <c r="M241" s="4"/>
      <c r="N241" s="4"/>
      <c r="O241" s="4"/>
      <c r="P241" s="4"/>
      <c r="Q241" s="4"/>
      <c r="R241" s="4"/>
      <c r="S241" s="4"/>
    </row>
    <row r="242" spans="2:19" x14ac:dyDescent="0.2">
      <c r="B242" s="4"/>
      <c r="C242" s="4"/>
      <c r="D242" s="131"/>
      <c r="E242" s="4" t="s">
        <v>309</v>
      </c>
      <c r="F242" s="208">
        <v>10000000</v>
      </c>
      <c r="G242" s="196">
        <v>0.5</v>
      </c>
      <c r="H242" s="4"/>
      <c r="I242" s="132"/>
      <c r="J242" s="4"/>
      <c r="K242" s="4"/>
      <c r="L242" s="4" t="s">
        <v>508</v>
      </c>
      <c r="M242" s="4"/>
      <c r="N242" s="4"/>
      <c r="O242" s="4"/>
      <c r="P242" s="4"/>
      <c r="Q242" s="4"/>
      <c r="R242" s="4"/>
      <c r="S242" s="4"/>
    </row>
    <row r="243" spans="2:19" x14ac:dyDescent="0.2">
      <c r="B243" s="4"/>
      <c r="C243" s="4"/>
      <c r="D243" s="131"/>
      <c r="E243" s="4" t="s">
        <v>509</v>
      </c>
      <c r="F243" s="212">
        <f>G243*F244</f>
        <v>10000000</v>
      </c>
      <c r="G243" s="196">
        <f>1-G242</f>
        <v>0.5</v>
      </c>
      <c r="H243" s="4"/>
      <c r="I243" s="132"/>
      <c r="J243" s="4"/>
      <c r="K243" s="4"/>
      <c r="L243" s="4"/>
      <c r="M243" s="4"/>
      <c r="N243" s="4"/>
      <c r="O243" s="4"/>
      <c r="P243" s="4"/>
      <c r="Q243" s="4"/>
      <c r="R243" s="4"/>
      <c r="S243" s="4"/>
    </row>
    <row r="244" spans="2:19" x14ac:dyDescent="0.2">
      <c r="B244" s="4"/>
      <c r="C244" s="4"/>
      <c r="D244" s="241"/>
      <c r="E244" s="4" t="s">
        <v>305</v>
      </c>
      <c r="F244" s="208">
        <f>F242/G242</f>
        <v>20000000</v>
      </c>
      <c r="G244" s="4"/>
      <c r="H244" s="4"/>
      <c r="I244" s="132"/>
      <c r="J244" s="4"/>
      <c r="K244" s="4"/>
      <c r="L244" s="4"/>
      <c r="M244" s="4"/>
      <c r="N244" s="265" t="s">
        <v>474</v>
      </c>
      <c r="O244" s="265" t="s">
        <v>262</v>
      </c>
      <c r="P244" s="4"/>
      <c r="Q244" s="4"/>
      <c r="R244" s="4"/>
      <c r="S244" s="4"/>
    </row>
    <row r="245" spans="2:19" x14ac:dyDescent="0.2">
      <c r="B245" s="4"/>
      <c r="C245" s="4"/>
      <c r="D245" s="131"/>
      <c r="E245" s="254" t="s">
        <v>496</v>
      </c>
      <c r="F245" s="389">
        <v>60000000</v>
      </c>
      <c r="G245" s="4"/>
      <c r="H245" s="4"/>
      <c r="I245" s="132"/>
      <c r="J245" s="4"/>
      <c r="K245" s="4"/>
      <c r="L245" s="4"/>
      <c r="M245" s="162" t="s">
        <v>510</v>
      </c>
      <c r="N245" s="208">
        <f>M223</f>
        <v>4780967.5</v>
      </c>
      <c r="O245" s="4"/>
      <c r="P245" s="4"/>
      <c r="Q245" s="4"/>
      <c r="R245" s="4"/>
      <c r="S245" s="4"/>
    </row>
    <row r="246" spans="2:19" x14ac:dyDescent="0.2">
      <c r="B246" s="4"/>
      <c r="C246" s="4"/>
      <c r="D246" s="131"/>
      <c r="E246" s="4" t="s">
        <v>511</v>
      </c>
      <c r="F246" s="212">
        <f>2*F242</f>
        <v>20000000</v>
      </c>
      <c r="G246" s="4" t="s">
        <v>512</v>
      </c>
      <c r="H246" s="4"/>
      <c r="I246" s="132"/>
      <c r="J246" s="4"/>
      <c r="K246" s="4"/>
      <c r="L246" s="4"/>
      <c r="M246" s="162" t="s">
        <v>316</v>
      </c>
      <c r="N246" s="218">
        <v>0.2</v>
      </c>
      <c r="O246" s="4"/>
      <c r="P246" s="208"/>
      <c r="Q246" s="4"/>
      <c r="R246" s="4"/>
      <c r="S246" s="4"/>
    </row>
    <row r="247" spans="2:19" x14ac:dyDescent="0.2">
      <c r="B247" s="4"/>
      <c r="C247" s="4"/>
      <c r="D247" s="131"/>
      <c r="E247" s="277" t="s">
        <v>498</v>
      </c>
      <c r="F247" s="389">
        <f>F245-F246</f>
        <v>40000000</v>
      </c>
      <c r="G247" s="4"/>
      <c r="H247" s="4"/>
      <c r="I247" s="132"/>
      <c r="J247" s="4"/>
      <c r="K247" s="4"/>
      <c r="L247" s="4"/>
      <c r="M247" s="162" t="s">
        <v>513</v>
      </c>
      <c r="N247" s="208">
        <f>N245*(1-N246)</f>
        <v>3824774</v>
      </c>
      <c r="O247" s="4"/>
      <c r="P247" s="4"/>
      <c r="Q247" s="4"/>
      <c r="R247" s="4"/>
      <c r="S247" s="4"/>
    </row>
    <row r="248" spans="2:19" ht="15" thickBot="1" x14ac:dyDescent="0.25">
      <c r="B248" s="4"/>
      <c r="C248" s="4"/>
      <c r="D248" s="131"/>
      <c r="E248" s="162" t="s">
        <v>514</v>
      </c>
      <c r="F248" s="212">
        <f>F247*G242</f>
        <v>20000000</v>
      </c>
      <c r="G248" s="4" t="s">
        <v>515</v>
      </c>
      <c r="H248" s="4"/>
      <c r="I248" s="132"/>
      <c r="J248" s="4"/>
      <c r="K248" s="4"/>
      <c r="L248" s="4"/>
      <c r="M248" s="4"/>
      <c r="N248" s="431">
        <f>N245/N247</f>
        <v>1.25</v>
      </c>
      <c r="O248" s="4"/>
      <c r="P248" s="4"/>
      <c r="Q248" s="4"/>
      <c r="R248" s="4"/>
      <c r="S248" s="4"/>
    </row>
    <row r="249" spans="2:19" ht="15" thickBot="1" x14ac:dyDescent="0.25">
      <c r="B249" s="4"/>
      <c r="C249" s="4"/>
      <c r="D249" s="432">
        <f>F249/F242</f>
        <v>4</v>
      </c>
      <c r="E249" s="201" t="s">
        <v>516</v>
      </c>
      <c r="F249" s="430">
        <f>F246+F248</f>
        <v>40000000</v>
      </c>
      <c r="G249" s="383">
        <f>F249/F245</f>
        <v>0.66666666666666663</v>
      </c>
      <c r="H249" s="201" t="s">
        <v>517</v>
      </c>
      <c r="I249" s="223"/>
      <c r="J249" s="4"/>
      <c r="K249" s="4"/>
      <c r="L249" s="4"/>
      <c r="M249" s="162" t="s">
        <v>253</v>
      </c>
      <c r="N249" s="433">
        <f>N239*(1-N246)</f>
        <v>3.5300887846481879</v>
      </c>
      <c r="O249" s="4"/>
      <c r="P249" s="4"/>
      <c r="Q249" s="4"/>
      <c r="R249" s="4"/>
      <c r="S249" s="4"/>
    </row>
    <row r="250" spans="2:19" ht="15" thickBot="1" x14ac:dyDescent="0.25">
      <c r="B250" s="4"/>
      <c r="C250" s="4"/>
      <c r="D250" s="434" t="s">
        <v>518</v>
      </c>
      <c r="E250" s="388"/>
      <c r="F250" s="388"/>
      <c r="G250" s="388"/>
      <c r="H250" s="388"/>
      <c r="I250" s="272"/>
      <c r="J250" s="4"/>
      <c r="K250" s="4"/>
      <c r="L250" s="4"/>
      <c r="M250" s="162" t="s">
        <v>519</v>
      </c>
      <c r="N250" s="299">
        <f>N245/N249</f>
        <v>1354347.664226376</v>
      </c>
      <c r="O250" s="4" t="s">
        <v>520</v>
      </c>
      <c r="P250" s="4"/>
      <c r="Q250" s="4"/>
      <c r="R250" s="4"/>
      <c r="S250" s="4"/>
    </row>
    <row r="251" spans="2:19" ht="15" thickBot="1" x14ac:dyDescent="0.25">
      <c r="B251" s="4"/>
      <c r="C251" s="4"/>
      <c r="D251" s="200" t="s">
        <v>521</v>
      </c>
      <c r="E251" s="201"/>
      <c r="F251" s="201"/>
      <c r="G251" s="201"/>
      <c r="H251" s="201"/>
      <c r="I251" s="223"/>
      <c r="J251" s="4"/>
      <c r="K251" s="4"/>
      <c r="L251" s="4"/>
      <c r="M251" s="4"/>
      <c r="N251" s="4"/>
      <c r="O251" s="4"/>
      <c r="P251" s="4"/>
      <c r="Q251" s="4"/>
      <c r="R251" s="4"/>
      <c r="S251" s="4"/>
    </row>
    <row r="252" spans="2:19" x14ac:dyDescent="0.2">
      <c r="B252" s="4"/>
      <c r="C252" s="4"/>
      <c r="D252" s="4"/>
      <c r="E252" s="4"/>
      <c r="F252" s="4"/>
      <c r="G252" s="4"/>
      <c r="H252" s="4"/>
      <c r="I252" s="4"/>
      <c r="J252" s="4"/>
      <c r="K252" s="4"/>
      <c r="L252" s="4" t="s">
        <v>522</v>
      </c>
      <c r="M252" s="4"/>
      <c r="N252" s="171">
        <f>M237</f>
        <v>11725000</v>
      </c>
      <c r="O252" s="171"/>
      <c r="P252" s="4"/>
      <c r="Q252" s="4"/>
      <c r="R252" s="4"/>
      <c r="S252" s="4"/>
    </row>
    <row r="253" spans="2:19" ht="15" thickBot="1" x14ac:dyDescent="0.25">
      <c r="B253" s="4"/>
      <c r="C253" s="4"/>
      <c r="D253" s="4"/>
      <c r="E253" s="4"/>
      <c r="F253" s="4"/>
      <c r="G253" s="4"/>
      <c r="H253" s="4"/>
      <c r="I253" s="4"/>
      <c r="J253" s="4"/>
      <c r="K253" s="4"/>
      <c r="L253" s="4"/>
      <c r="M253" s="4"/>
      <c r="N253" s="181">
        <f>N237</f>
        <v>2069117.6470588236</v>
      </c>
      <c r="O253" s="171"/>
      <c r="P253" s="4"/>
      <c r="Q253" s="4"/>
      <c r="R253" s="4"/>
      <c r="S253" s="4"/>
    </row>
    <row r="254" spans="2:19" x14ac:dyDescent="0.2">
      <c r="B254" s="4"/>
      <c r="C254" s="4"/>
      <c r="D254" s="4"/>
      <c r="E254" s="4"/>
      <c r="F254" s="301" t="s">
        <v>523</v>
      </c>
      <c r="G254" s="160" t="s">
        <v>307</v>
      </c>
      <c r="H254" s="435">
        <v>5000000</v>
      </c>
      <c r="I254" s="436" t="s">
        <v>174</v>
      </c>
      <c r="J254" s="4"/>
      <c r="K254" s="4"/>
      <c r="L254" s="4"/>
      <c r="M254" s="4"/>
      <c r="N254" s="171">
        <f>SUM(N252:N253)</f>
        <v>13794117.647058824</v>
      </c>
      <c r="O254" s="171" t="s">
        <v>524</v>
      </c>
      <c r="P254" s="4"/>
      <c r="Q254" s="4"/>
      <c r="R254" s="4"/>
      <c r="S254" s="4"/>
    </row>
    <row r="255" spans="2:19" x14ac:dyDescent="0.2">
      <c r="B255" s="4"/>
      <c r="C255" s="4"/>
      <c r="D255" s="4"/>
      <c r="E255" s="4"/>
      <c r="F255" s="131"/>
      <c r="G255" s="162" t="s">
        <v>525</v>
      </c>
      <c r="H255" s="255">
        <v>500000</v>
      </c>
      <c r="I255" s="132" t="s">
        <v>337</v>
      </c>
      <c r="J255" s="4"/>
      <c r="K255" s="4"/>
      <c r="L255" s="4"/>
      <c r="M255" s="4"/>
      <c r="N255" s="4"/>
      <c r="O255" s="4"/>
      <c r="P255" s="4"/>
      <c r="Q255" s="4"/>
      <c r="R255" s="4"/>
      <c r="S255" s="4"/>
    </row>
    <row r="256" spans="2:19" x14ac:dyDescent="0.2">
      <c r="B256" s="4"/>
      <c r="C256" s="4"/>
      <c r="D256" s="4"/>
      <c r="E256" s="4"/>
      <c r="F256" s="131"/>
      <c r="G256" s="162" t="s">
        <v>456</v>
      </c>
      <c r="H256" s="209">
        <v>200000</v>
      </c>
      <c r="I256" s="132"/>
      <c r="J256" s="4"/>
      <c r="K256" s="4"/>
      <c r="L256" s="4" t="s">
        <v>526</v>
      </c>
      <c r="M256" s="4"/>
      <c r="N256" s="4"/>
      <c r="O256" s="4"/>
      <c r="P256" s="4"/>
      <c r="Q256" s="4"/>
      <c r="R256" s="4"/>
      <c r="S256" s="4"/>
    </row>
    <row r="257" spans="2:19" x14ac:dyDescent="0.2">
      <c r="B257" s="4"/>
      <c r="C257" s="4"/>
      <c r="D257" s="4"/>
      <c r="E257" s="4"/>
      <c r="F257" s="131"/>
      <c r="G257" s="162" t="s">
        <v>527</v>
      </c>
      <c r="H257" s="209">
        <v>1000000</v>
      </c>
      <c r="I257" s="437"/>
      <c r="J257" s="4"/>
      <c r="K257" s="4"/>
      <c r="L257" s="4"/>
      <c r="M257" s="4"/>
      <c r="N257" s="4"/>
      <c r="O257" s="4"/>
      <c r="P257" s="4"/>
      <c r="Q257" s="4"/>
      <c r="R257" s="4"/>
      <c r="S257" s="4"/>
    </row>
    <row r="258" spans="2:19" x14ac:dyDescent="0.2">
      <c r="B258" s="4"/>
      <c r="C258" s="4"/>
      <c r="D258" s="4"/>
      <c r="E258" s="4"/>
      <c r="F258" s="131"/>
      <c r="G258" s="162" t="s">
        <v>528</v>
      </c>
      <c r="H258" s="326"/>
      <c r="I258" s="132"/>
      <c r="J258" s="4"/>
      <c r="K258" s="4"/>
      <c r="L258" s="4"/>
      <c r="M258" s="162" t="s">
        <v>402</v>
      </c>
      <c r="N258" s="4"/>
      <c r="O258" s="171"/>
      <c r="P258" s="4"/>
      <c r="Q258" s="4"/>
      <c r="R258" s="4"/>
      <c r="S258" s="4"/>
    </row>
    <row r="259" spans="2:19" x14ac:dyDescent="0.2">
      <c r="B259" s="4"/>
      <c r="C259" s="4"/>
      <c r="D259" s="4"/>
      <c r="E259" s="4"/>
      <c r="F259" s="131"/>
      <c r="G259" s="162" t="s">
        <v>529</v>
      </c>
      <c r="H259" s="326">
        <f>H257/H255</f>
        <v>2</v>
      </c>
      <c r="I259" s="132"/>
      <c r="J259" s="4"/>
      <c r="K259" s="4"/>
      <c r="L259" s="4"/>
      <c r="M259" s="162" t="s">
        <v>530</v>
      </c>
      <c r="N259" s="4"/>
      <c r="O259" s="4"/>
      <c r="P259" s="249"/>
      <c r="Q259" s="249"/>
      <c r="R259" s="4"/>
      <c r="S259" s="4"/>
    </row>
    <row r="260" spans="2:19" x14ac:dyDescent="0.2">
      <c r="B260" s="4"/>
      <c r="C260" s="4"/>
      <c r="D260" s="4"/>
      <c r="E260" s="4"/>
      <c r="F260" s="131"/>
      <c r="G260" s="162" t="s">
        <v>531</v>
      </c>
      <c r="H260" s="326">
        <f>H254/H255</f>
        <v>10</v>
      </c>
      <c r="I260" s="132" t="s">
        <v>532</v>
      </c>
      <c r="J260" s="4"/>
      <c r="K260" s="4"/>
      <c r="L260" s="4"/>
      <c r="M260" s="162" t="s">
        <v>253</v>
      </c>
      <c r="N260" s="4"/>
      <c r="O260" s="4"/>
      <c r="P260" s="438">
        <f>M209</f>
        <v>9130211.25</v>
      </c>
      <c r="Q260" s="249"/>
      <c r="R260" s="4"/>
      <c r="S260" s="4"/>
    </row>
    <row r="261" spans="2:19" x14ac:dyDescent="0.2">
      <c r="B261" s="4"/>
      <c r="C261" s="4"/>
      <c r="D261" s="4"/>
      <c r="E261" s="4"/>
      <c r="F261" s="131"/>
      <c r="G261" s="162"/>
      <c r="H261" s="4"/>
      <c r="I261" s="132"/>
      <c r="J261" s="4"/>
      <c r="K261" s="4"/>
      <c r="L261" s="4"/>
      <c r="M261" s="4"/>
      <c r="N261" s="4"/>
      <c r="O261" s="4"/>
      <c r="P261" s="249"/>
      <c r="Q261" s="249"/>
      <c r="R261" s="4"/>
      <c r="S261" s="4"/>
    </row>
    <row r="262" spans="2:19" x14ac:dyDescent="0.2">
      <c r="B262" s="4"/>
      <c r="C262" s="4"/>
      <c r="D262" s="4"/>
      <c r="E262" s="4"/>
      <c r="F262" s="131"/>
      <c r="G262" s="162" t="s">
        <v>533</v>
      </c>
      <c r="H262" s="4"/>
      <c r="I262" s="132"/>
      <c r="J262" s="4"/>
      <c r="K262" s="4"/>
      <c r="L262" s="4"/>
      <c r="M262" s="4"/>
      <c r="N262" s="4"/>
      <c r="O262" s="4"/>
      <c r="P262" s="249"/>
      <c r="Q262" s="249"/>
      <c r="R262" s="4"/>
      <c r="S262" s="4"/>
    </row>
    <row r="263" spans="2:19" x14ac:dyDescent="0.2">
      <c r="B263" s="4"/>
      <c r="C263" s="4"/>
      <c r="D263" s="4"/>
      <c r="E263" s="4"/>
      <c r="F263" s="131"/>
      <c r="G263" s="162" t="s">
        <v>534</v>
      </c>
      <c r="H263" s="255">
        <f>H256/H259</f>
        <v>100000</v>
      </c>
      <c r="I263" s="132" t="s">
        <v>337</v>
      </c>
      <c r="J263" s="4"/>
      <c r="K263" s="4"/>
      <c r="L263" s="4" t="s">
        <v>393</v>
      </c>
      <c r="M263" s="4" t="s">
        <v>535</v>
      </c>
      <c r="N263" s="4"/>
      <c r="O263" s="4"/>
      <c r="P263" s="249">
        <f>8*1250000</f>
        <v>10000000</v>
      </c>
      <c r="Q263" s="249"/>
      <c r="R263" s="4"/>
      <c r="S263" s="4"/>
    </row>
    <row r="264" spans="2:19" x14ac:dyDescent="0.2">
      <c r="B264" s="4"/>
      <c r="C264" s="4"/>
      <c r="D264" s="4"/>
      <c r="E264" s="4"/>
      <c r="F264" s="131"/>
      <c r="G264" s="162"/>
      <c r="H264" s="162" t="s">
        <v>536</v>
      </c>
      <c r="I264" s="132"/>
      <c r="J264" s="4"/>
      <c r="K264" s="4"/>
      <c r="L264" s="4" t="s">
        <v>385</v>
      </c>
      <c r="M264" s="4" t="s">
        <v>537</v>
      </c>
      <c r="N264" s="4"/>
      <c r="O264" s="4"/>
      <c r="P264" s="249"/>
      <c r="Q264" s="249"/>
      <c r="R264" s="4"/>
      <c r="S264" s="4"/>
    </row>
    <row r="265" spans="2:19" x14ac:dyDescent="0.2">
      <c r="B265" s="4"/>
      <c r="C265" s="4"/>
      <c r="D265" s="4"/>
      <c r="E265" s="4"/>
      <c r="F265" s="131"/>
      <c r="G265" s="162" t="s">
        <v>538</v>
      </c>
      <c r="H265" s="209">
        <f>H263*H260</f>
        <v>1000000</v>
      </c>
      <c r="I265" s="132"/>
      <c r="J265" s="4"/>
      <c r="K265" s="208">
        <f>M225</f>
        <v>9130211.25</v>
      </c>
      <c r="L265" s="4" t="s">
        <v>539</v>
      </c>
      <c r="M265" s="4" t="s">
        <v>540</v>
      </c>
      <c r="N265" s="4"/>
      <c r="O265" s="4"/>
      <c r="P265" s="249" t="s">
        <v>464</v>
      </c>
      <c r="Q265" s="438">
        <f>P260/N239</f>
        <v>2069117.6470588234</v>
      </c>
      <c r="R265" s="4"/>
      <c r="S265" s="4"/>
    </row>
    <row r="266" spans="2:19" ht="15" thickBot="1" x14ac:dyDescent="0.25">
      <c r="B266" s="4"/>
      <c r="C266" s="4"/>
      <c r="D266" s="4"/>
      <c r="E266" s="4"/>
      <c r="F266" s="200"/>
      <c r="G266" s="429" t="s">
        <v>541</v>
      </c>
      <c r="H266" s="201">
        <f>H265/H256</f>
        <v>5</v>
      </c>
      <c r="I266" s="223" t="s">
        <v>542</v>
      </c>
      <c r="J266" s="4"/>
      <c r="K266" s="4"/>
      <c r="L266" s="4"/>
      <c r="M266" s="4"/>
      <c r="N266" s="4"/>
      <c r="O266" s="4"/>
      <c r="P266" s="249"/>
      <c r="Q266" s="249"/>
      <c r="R266" s="4"/>
      <c r="S266" s="4"/>
    </row>
    <row r="267" spans="2:19" x14ac:dyDescent="0.2">
      <c r="B267" s="4"/>
      <c r="C267" s="4"/>
      <c r="D267" s="4"/>
      <c r="E267" s="4"/>
      <c r="F267" s="4"/>
      <c r="G267" s="4"/>
      <c r="H267" s="4"/>
      <c r="I267" s="4"/>
      <c r="J267" s="4"/>
      <c r="K267" s="4"/>
      <c r="L267" s="4"/>
      <c r="M267" s="4"/>
      <c r="N267" s="4"/>
      <c r="O267" s="4"/>
      <c r="P267" s="249" t="s">
        <v>471</v>
      </c>
      <c r="Q267" s="438">
        <f>N254*N239</f>
        <v>60868075.000000007</v>
      </c>
      <c r="R267" s="4"/>
      <c r="S267" s="4"/>
    </row>
    <row r="268" spans="2:19" x14ac:dyDescent="0.2">
      <c r="B268" s="4"/>
      <c r="C268" s="4"/>
      <c r="D268" s="4"/>
      <c r="E268" s="4"/>
      <c r="F268" s="4"/>
      <c r="G268" s="4"/>
      <c r="H268" s="4"/>
      <c r="I268" s="4"/>
      <c r="J268" s="4"/>
      <c r="K268" s="4"/>
      <c r="L268" s="4"/>
      <c r="M268" s="4"/>
      <c r="N268" s="4"/>
      <c r="O268" s="4"/>
      <c r="P268" s="249"/>
      <c r="Q268" s="249"/>
      <c r="R268" s="4"/>
      <c r="S268" s="4"/>
    </row>
    <row r="269" spans="2:19" x14ac:dyDescent="0.2">
      <c r="B269" s="4"/>
      <c r="C269" s="4"/>
      <c r="D269" s="4"/>
      <c r="E269" s="4"/>
      <c r="F269" s="4"/>
      <c r="G269" s="4"/>
      <c r="H269" s="4"/>
      <c r="I269" s="4"/>
      <c r="J269" s="4"/>
      <c r="K269" s="4"/>
      <c r="L269" s="4"/>
      <c r="M269" s="4"/>
      <c r="N269" s="4"/>
      <c r="O269" s="4"/>
      <c r="P269" s="4"/>
      <c r="Q269" s="4"/>
      <c r="R269" s="4"/>
      <c r="S269" s="4"/>
    </row>
    <row r="270" spans="2:19" x14ac:dyDescent="0.2">
      <c r="B270" s="4"/>
      <c r="C270" s="4"/>
      <c r="D270" s="4"/>
      <c r="E270" s="4"/>
      <c r="F270" s="4"/>
      <c r="G270" s="4"/>
      <c r="H270" s="4"/>
      <c r="I270" s="4"/>
      <c r="J270" s="4"/>
      <c r="K270" s="4"/>
      <c r="L270" s="4"/>
      <c r="M270" s="4"/>
      <c r="N270" s="4"/>
      <c r="O270" s="4"/>
      <c r="P270" s="4"/>
      <c r="Q270" s="4"/>
      <c r="R270" s="4"/>
      <c r="S270" s="4"/>
    </row>
    <row r="271" spans="2:19" x14ac:dyDescent="0.2">
      <c r="B271" s="4"/>
      <c r="C271" s="4"/>
      <c r="D271" s="4"/>
      <c r="E271" s="4"/>
      <c r="F271" s="4"/>
      <c r="G271" s="4"/>
      <c r="H271" s="4"/>
      <c r="I271" s="4"/>
      <c r="J271" s="4"/>
      <c r="K271" s="4"/>
      <c r="L271" s="4"/>
      <c r="M271" s="4"/>
      <c r="N271" s="4"/>
      <c r="O271" s="4"/>
      <c r="P271" s="4"/>
      <c r="Q271" s="4"/>
      <c r="R271" s="4"/>
      <c r="S271" s="4"/>
    </row>
    <row r="272" spans="2:19" x14ac:dyDescent="0.2">
      <c r="B272" s="4"/>
      <c r="C272" s="4"/>
      <c r="D272" s="4"/>
      <c r="E272" s="4"/>
      <c r="F272" s="4"/>
      <c r="G272" s="4"/>
      <c r="H272" s="4"/>
      <c r="I272" s="4"/>
      <c r="J272" s="4"/>
      <c r="K272" s="4"/>
      <c r="L272" s="4"/>
      <c r="M272" s="4"/>
      <c r="N272" s="4"/>
      <c r="O272" s="4"/>
      <c r="P272" s="4"/>
      <c r="Q272" s="4"/>
      <c r="R272" s="4"/>
      <c r="S272" s="4"/>
    </row>
    <row r="273" spans="2:19" x14ac:dyDescent="0.2">
      <c r="B273" s="4"/>
      <c r="C273" s="4"/>
      <c r="D273" s="4"/>
      <c r="E273" s="4"/>
      <c r="F273" s="4"/>
      <c r="G273" s="4"/>
      <c r="H273" s="4"/>
      <c r="I273" s="4"/>
      <c r="J273" s="4"/>
      <c r="K273" s="4"/>
      <c r="L273" s="4"/>
      <c r="M273" s="4"/>
      <c r="N273" s="4"/>
      <c r="O273" s="4"/>
      <c r="P273" s="4"/>
      <c r="Q273" s="4"/>
      <c r="R273" s="4"/>
      <c r="S273" s="4"/>
    </row>
    <row r="274" spans="2:19" x14ac:dyDescent="0.2">
      <c r="B274" s="4"/>
      <c r="C274" s="4"/>
      <c r="D274" s="4"/>
      <c r="E274" s="4"/>
      <c r="F274" s="4"/>
      <c r="G274" s="4"/>
      <c r="H274" s="4"/>
      <c r="I274" s="4"/>
      <c r="J274" s="4"/>
      <c r="K274" s="4"/>
      <c r="L274" s="4"/>
      <c r="M274" s="4"/>
      <c r="N274" s="4"/>
      <c r="O274" s="4"/>
      <c r="P274" s="4"/>
      <c r="Q274" s="4"/>
      <c r="R274" s="4"/>
      <c r="S274" s="4"/>
    </row>
    <row r="275" spans="2:19" x14ac:dyDescent="0.2">
      <c r="B275" s="4"/>
      <c r="C275" s="4"/>
      <c r="D275" s="4"/>
      <c r="E275" s="4"/>
      <c r="F275" s="4"/>
      <c r="G275" s="4"/>
      <c r="H275" s="4"/>
      <c r="I275" s="4"/>
      <c r="J275" s="4"/>
      <c r="K275" s="4"/>
      <c r="L275" s="4"/>
      <c r="M275" s="4"/>
      <c r="N275" s="4"/>
      <c r="O275" s="4"/>
      <c r="P275" s="4"/>
      <c r="Q275" s="4"/>
      <c r="R275" s="4"/>
      <c r="S275" s="4"/>
    </row>
    <row r="276" spans="2:19" x14ac:dyDescent="0.2">
      <c r="B276" s="4"/>
      <c r="C276" s="4"/>
      <c r="D276" s="4"/>
      <c r="E276" s="4"/>
      <c r="F276" s="4"/>
      <c r="G276" s="4"/>
      <c r="H276" s="4"/>
      <c r="I276" s="4"/>
      <c r="J276" s="4"/>
      <c r="K276" s="4"/>
      <c r="L276" s="4"/>
      <c r="M276" s="4"/>
      <c r="N276" s="4"/>
      <c r="O276" s="4"/>
      <c r="P276" s="4"/>
      <c r="Q276" s="4"/>
      <c r="R276" s="4"/>
      <c r="S276" s="4"/>
    </row>
    <row r="277" spans="2:19" x14ac:dyDescent="0.2">
      <c r="B277" s="4"/>
      <c r="C277" s="4"/>
      <c r="D277" s="4"/>
      <c r="E277" s="4"/>
      <c r="F277" s="4"/>
      <c r="G277" s="4"/>
      <c r="H277" s="4"/>
      <c r="I277" s="4"/>
      <c r="J277" s="4"/>
      <c r="K277" s="4"/>
      <c r="L277" s="4"/>
      <c r="M277" s="4"/>
      <c r="N277" s="4"/>
      <c r="O277" s="4"/>
      <c r="P277" s="4"/>
      <c r="Q277" s="4"/>
      <c r="R277" s="4"/>
      <c r="S277" s="4"/>
    </row>
    <row r="278" spans="2:19" x14ac:dyDescent="0.2">
      <c r="B278" s="4"/>
      <c r="C278" s="4"/>
      <c r="D278" s="4"/>
      <c r="E278" s="4"/>
      <c r="F278" s="4"/>
      <c r="G278" s="4"/>
      <c r="H278" s="4"/>
      <c r="I278" s="4"/>
      <c r="J278" s="4"/>
      <c r="K278" s="4"/>
      <c r="L278" s="4"/>
      <c r="M278" s="4"/>
      <c r="N278" s="4"/>
      <c r="O278" s="4"/>
      <c r="P278" s="4"/>
      <c r="Q278" s="4"/>
      <c r="R278" s="4"/>
      <c r="S278" s="4"/>
    </row>
    <row r="279" spans="2:19" x14ac:dyDescent="0.2">
      <c r="B279" s="4"/>
      <c r="C279" s="4"/>
      <c r="D279" s="4"/>
      <c r="E279" s="4"/>
      <c r="F279" s="4"/>
      <c r="G279" s="4"/>
      <c r="H279" s="4"/>
      <c r="I279" s="4"/>
      <c r="J279" s="4"/>
      <c r="K279" s="4"/>
      <c r="L279" s="4"/>
      <c r="M279" s="4"/>
      <c r="N279" s="4"/>
      <c r="O279" s="4"/>
      <c r="P279" s="4"/>
      <c r="Q279" s="4"/>
      <c r="R279" s="4"/>
      <c r="S279" s="4"/>
    </row>
    <row r="280" spans="2:19" x14ac:dyDescent="0.2">
      <c r="B280" s="4"/>
      <c r="C280" s="4"/>
      <c r="D280" s="4"/>
      <c r="E280" s="4"/>
      <c r="F280" s="4"/>
      <c r="G280" s="4"/>
      <c r="H280" s="4"/>
      <c r="I280" s="4"/>
      <c r="J280" s="4"/>
      <c r="K280" s="4"/>
      <c r="L280" s="4"/>
      <c r="M280" s="4"/>
      <c r="N280" s="4"/>
      <c r="O280" s="4"/>
      <c r="P280" s="4"/>
      <c r="Q280" s="4"/>
      <c r="R280" s="4"/>
      <c r="S280" s="4"/>
    </row>
    <row r="281" spans="2:19" x14ac:dyDescent="0.2">
      <c r="B281" s="4"/>
      <c r="C281" s="4"/>
      <c r="D281" s="4"/>
      <c r="E281" s="4"/>
      <c r="F281" s="4"/>
      <c r="G281" s="4"/>
      <c r="H281" s="4"/>
      <c r="I281" s="4"/>
      <c r="J281" s="4"/>
      <c r="K281" s="4"/>
      <c r="L281" s="4"/>
      <c r="M281" s="4"/>
      <c r="N281" s="4"/>
      <c r="O281" s="4"/>
      <c r="P281" s="4"/>
      <c r="Q281" s="4"/>
      <c r="R281" s="4"/>
      <c r="S281" s="4"/>
    </row>
    <row r="282" spans="2:19" x14ac:dyDescent="0.2">
      <c r="B282" s="4"/>
      <c r="C282" s="4"/>
      <c r="D282" s="4"/>
      <c r="E282" s="4"/>
      <c r="F282" s="4"/>
      <c r="G282" s="4"/>
      <c r="H282" s="4"/>
      <c r="I282" s="4"/>
      <c r="J282" s="4"/>
      <c r="K282" s="4"/>
      <c r="L282" s="4"/>
      <c r="M282" s="4"/>
      <c r="N282" s="4"/>
      <c r="O282" s="4"/>
      <c r="P282" s="4"/>
      <c r="Q282" s="4"/>
      <c r="R282" s="4"/>
      <c r="S282" s="4"/>
    </row>
    <row r="283" spans="2:19" x14ac:dyDescent="0.2">
      <c r="B283" s="4"/>
      <c r="C283" s="4"/>
      <c r="D283" s="4"/>
      <c r="E283" s="4"/>
      <c r="F283" s="4"/>
      <c r="G283" s="4"/>
      <c r="H283" s="4"/>
      <c r="I283" s="4"/>
      <c r="J283" s="4"/>
      <c r="K283" s="4"/>
      <c r="L283" s="4"/>
      <c r="M283" s="4"/>
      <c r="N283" s="4"/>
      <c r="O283" s="4"/>
      <c r="P283" s="4"/>
      <c r="Q283" s="4"/>
      <c r="R283" s="4"/>
      <c r="S283" s="4"/>
    </row>
    <row r="284" spans="2:19" x14ac:dyDescent="0.2">
      <c r="B284" s="4"/>
      <c r="C284" s="4"/>
      <c r="D284" s="4"/>
      <c r="E284" s="4"/>
      <c r="F284" s="4"/>
      <c r="G284" s="4"/>
      <c r="H284" s="4"/>
      <c r="I284" s="4"/>
      <c r="J284" s="4"/>
      <c r="K284" s="4"/>
      <c r="L284" s="4"/>
      <c r="M284" s="4"/>
      <c r="N284" s="4"/>
      <c r="O284" s="4"/>
      <c r="P284" s="4"/>
      <c r="Q284" s="4"/>
      <c r="R284" s="4"/>
      <c r="S284" s="4"/>
    </row>
    <row r="285" spans="2:19" x14ac:dyDescent="0.2">
      <c r="B285" s="4"/>
      <c r="C285" s="4"/>
      <c r="D285" s="4"/>
      <c r="E285" s="4"/>
      <c r="F285" s="4"/>
      <c r="G285" s="4"/>
      <c r="H285" s="4"/>
      <c r="I285" s="4"/>
      <c r="J285" s="4"/>
      <c r="K285" s="4"/>
      <c r="L285" s="4"/>
      <c r="M285" s="4"/>
      <c r="N285" s="4"/>
      <c r="O285" s="4"/>
      <c r="P285" s="4"/>
      <c r="Q285" s="4"/>
      <c r="R285" s="4"/>
      <c r="S285" s="4"/>
    </row>
    <row r="286" spans="2:19" x14ac:dyDescent="0.2">
      <c r="B286" s="4"/>
      <c r="C286" s="4"/>
      <c r="D286" s="4"/>
      <c r="E286" s="4"/>
      <c r="F286" s="4"/>
      <c r="G286" s="4"/>
      <c r="H286" s="4"/>
      <c r="I286" s="4"/>
      <c r="J286" s="4"/>
      <c r="K286" s="4"/>
      <c r="L286" s="4"/>
      <c r="M286" s="4"/>
      <c r="N286" s="4"/>
      <c r="O286" s="4"/>
      <c r="P286" s="4"/>
      <c r="Q286" s="4"/>
      <c r="R286" s="4"/>
      <c r="S286" s="4"/>
    </row>
    <row r="287" spans="2:19" x14ac:dyDescent="0.2">
      <c r="B287" s="4"/>
      <c r="C287" s="4"/>
      <c r="D287" s="4"/>
      <c r="E287" s="4"/>
      <c r="F287" s="4"/>
      <c r="G287" s="4"/>
      <c r="H287" s="4"/>
      <c r="I287" s="4"/>
      <c r="J287" s="4"/>
      <c r="K287" s="4"/>
      <c r="L287" s="4"/>
      <c r="M287" s="4"/>
      <c r="N287" s="4"/>
      <c r="O287" s="4"/>
      <c r="P287" s="4"/>
      <c r="Q287" s="4"/>
      <c r="R287" s="4"/>
      <c r="S287" s="4"/>
    </row>
    <row r="288" spans="2:19" x14ac:dyDescent="0.2">
      <c r="B288" s="4"/>
      <c r="C288" s="4"/>
      <c r="D288" s="4"/>
      <c r="E288" s="4"/>
      <c r="F288" s="4"/>
      <c r="G288" s="4"/>
      <c r="H288" s="4"/>
      <c r="I288" s="4"/>
      <c r="J288" s="4"/>
      <c r="K288" s="4"/>
      <c r="L288" s="4"/>
      <c r="M288" s="4"/>
      <c r="N288" s="4"/>
      <c r="O288" s="4"/>
      <c r="P288" s="4"/>
      <c r="Q288" s="4"/>
      <c r="R288" s="4"/>
      <c r="S288" s="4"/>
    </row>
    <row r="289" spans="2:19" x14ac:dyDescent="0.2">
      <c r="B289" s="4"/>
      <c r="C289" s="4"/>
      <c r="D289" s="4"/>
      <c r="E289" s="4"/>
      <c r="F289" s="4"/>
      <c r="G289" s="4"/>
      <c r="H289" s="4"/>
      <c r="I289" s="4"/>
      <c r="J289" s="4"/>
      <c r="K289" s="4"/>
      <c r="L289" s="4"/>
      <c r="M289" s="4"/>
      <c r="N289" s="4"/>
      <c r="O289" s="4"/>
      <c r="P289" s="4"/>
      <c r="Q289" s="4"/>
      <c r="R289" s="4"/>
      <c r="S289" s="4"/>
    </row>
    <row r="290" spans="2:19" x14ac:dyDescent="0.2">
      <c r="B290" s="4"/>
      <c r="C290" s="4"/>
      <c r="D290" s="4"/>
      <c r="E290" s="4"/>
      <c r="F290" s="4"/>
      <c r="G290" s="4"/>
      <c r="H290" s="4"/>
      <c r="I290" s="4"/>
      <c r="J290" s="4"/>
      <c r="K290" s="4"/>
      <c r="L290" s="4"/>
      <c r="M290" s="4"/>
      <c r="N290" s="4"/>
      <c r="O290" s="4"/>
      <c r="P290" s="4"/>
      <c r="Q290" s="4"/>
      <c r="R290" s="4"/>
      <c r="S290" s="4"/>
    </row>
    <row r="291" spans="2:19" x14ac:dyDescent="0.2">
      <c r="B291" s="4"/>
      <c r="C291" s="4"/>
      <c r="D291" s="4"/>
      <c r="E291" s="4"/>
      <c r="F291" s="4"/>
      <c r="G291" s="4"/>
      <c r="H291" s="4"/>
      <c r="I291" s="4"/>
      <c r="J291" s="4"/>
      <c r="K291" s="4"/>
      <c r="L291" s="4"/>
      <c r="M291" s="4"/>
      <c r="N291" s="4"/>
      <c r="O291" s="4"/>
      <c r="P291" s="4"/>
      <c r="Q291" s="4"/>
      <c r="R291" s="4"/>
      <c r="S291" s="4"/>
    </row>
    <row r="292" spans="2:19" x14ac:dyDescent="0.2">
      <c r="B292" s="4"/>
      <c r="C292" s="4"/>
      <c r="D292" s="4"/>
      <c r="E292" s="4"/>
      <c r="F292" s="4"/>
      <c r="G292" s="4"/>
      <c r="H292" s="4"/>
      <c r="I292" s="4"/>
      <c r="J292" s="4"/>
      <c r="K292" s="4"/>
      <c r="L292" s="4"/>
      <c r="M292" s="4"/>
      <c r="N292" s="4"/>
      <c r="O292" s="4"/>
      <c r="P292" s="4"/>
      <c r="Q292" s="4"/>
      <c r="R292" s="4"/>
      <c r="S292" s="4"/>
    </row>
    <row r="293" spans="2:19" x14ac:dyDescent="0.2">
      <c r="B293" s="4"/>
      <c r="C293" s="4"/>
      <c r="D293" s="4"/>
      <c r="E293" s="4"/>
      <c r="F293" s="4"/>
      <c r="G293" s="4"/>
      <c r="H293" s="4"/>
      <c r="I293" s="4"/>
      <c r="J293" s="4"/>
      <c r="K293" s="4"/>
      <c r="L293" s="4"/>
      <c r="M293" s="4"/>
      <c r="N293" s="4"/>
      <c r="O293" s="4"/>
      <c r="P293" s="4"/>
      <c r="Q293" s="4"/>
      <c r="R293" s="4"/>
      <c r="S293" s="4"/>
    </row>
    <row r="294" spans="2:19" x14ac:dyDescent="0.2">
      <c r="B294" s="4"/>
      <c r="C294" s="4"/>
      <c r="D294" s="4"/>
      <c r="E294" s="4"/>
      <c r="F294" s="4"/>
      <c r="G294" s="4"/>
      <c r="H294" s="4"/>
      <c r="I294" s="4"/>
      <c r="J294" s="4"/>
      <c r="K294" s="4"/>
      <c r="L294" s="4"/>
      <c r="M294" s="4"/>
      <c r="N294" s="4"/>
      <c r="O294" s="4"/>
      <c r="P294" s="4"/>
      <c r="Q294" s="4"/>
      <c r="R294" s="4"/>
      <c r="S294" s="4"/>
    </row>
    <row r="295" spans="2:19" x14ac:dyDescent="0.2">
      <c r="B295" s="4"/>
      <c r="C295" s="4"/>
      <c r="D295" s="4"/>
      <c r="E295" s="4"/>
      <c r="F295" s="4"/>
      <c r="G295" s="4"/>
      <c r="H295" s="4"/>
      <c r="I295" s="4"/>
      <c r="J295" s="4"/>
      <c r="K295" s="4"/>
      <c r="L295" s="4"/>
      <c r="M295" s="4"/>
      <c r="N295" s="4"/>
      <c r="O295" s="4"/>
      <c r="P295" s="4"/>
      <c r="Q295" s="4"/>
      <c r="R295" s="4"/>
      <c r="S295" s="4"/>
    </row>
    <row r="296" spans="2:19" x14ac:dyDescent="0.2">
      <c r="B296" s="4"/>
      <c r="C296" s="4"/>
      <c r="D296" s="4"/>
      <c r="E296" s="4"/>
      <c r="F296" s="4"/>
      <c r="G296" s="4"/>
      <c r="H296" s="4"/>
      <c r="I296" s="4"/>
      <c r="J296" s="4"/>
      <c r="K296" s="4"/>
      <c r="L296" s="4"/>
      <c r="M296" s="4"/>
      <c r="N296" s="4"/>
      <c r="O296" s="4"/>
      <c r="P296" s="4"/>
      <c r="Q296" s="4"/>
      <c r="R296" s="4"/>
      <c r="S296" s="4"/>
    </row>
    <row r="297" spans="2:19" x14ac:dyDescent="0.2">
      <c r="B297" s="4"/>
      <c r="C297" s="4"/>
      <c r="D297" s="4"/>
      <c r="E297" s="4"/>
      <c r="F297" s="4"/>
      <c r="G297" s="4"/>
      <c r="H297" s="4"/>
      <c r="I297" s="4"/>
      <c r="J297" s="4"/>
      <c r="K297" s="4"/>
      <c r="L297" s="4"/>
      <c r="M297" s="4"/>
      <c r="N297" s="4"/>
      <c r="O297" s="4"/>
      <c r="P297" s="4"/>
      <c r="Q297" s="4"/>
      <c r="R297" s="4"/>
      <c r="S297" s="4"/>
    </row>
    <row r="298" spans="2:19" x14ac:dyDescent="0.2">
      <c r="B298" s="4"/>
      <c r="C298" s="4"/>
      <c r="D298" s="4"/>
      <c r="E298" s="4"/>
      <c r="F298" s="4"/>
      <c r="G298" s="4"/>
      <c r="H298" s="4"/>
      <c r="I298" s="4"/>
      <c r="J298" s="4"/>
      <c r="K298" s="4"/>
      <c r="L298" s="4"/>
      <c r="M298" s="4"/>
      <c r="N298" s="4"/>
      <c r="O298" s="4"/>
      <c r="P298" s="4"/>
      <c r="Q298" s="4"/>
      <c r="R298" s="4"/>
      <c r="S298" s="4"/>
    </row>
    <row r="299" spans="2:19" x14ac:dyDescent="0.2">
      <c r="B299" s="4"/>
      <c r="C299" s="4"/>
      <c r="D299" s="4"/>
      <c r="E299" s="4"/>
      <c r="F299" s="4"/>
      <c r="G299" s="4"/>
      <c r="H299" s="4"/>
      <c r="I299" s="4"/>
      <c r="J299" s="4"/>
      <c r="K299" s="4"/>
      <c r="L299" s="4"/>
      <c r="M299" s="4"/>
      <c r="N299" s="4"/>
      <c r="O299" s="4"/>
      <c r="P299" s="4"/>
      <c r="Q299" s="4"/>
      <c r="R299" s="4"/>
      <c r="S299" s="4"/>
    </row>
    <row r="300" spans="2:19" x14ac:dyDescent="0.2">
      <c r="B300" s="4"/>
      <c r="C300" s="4"/>
      <c r="D300" s="4"/>
      <c r="E300" s="4"/>
      <c r="F300" s="4"/>
      <c r="G300" s="4"/>
      <c r="H300" s="4"/>
      <c r="I300" s="4"/>
      <c r="J300" s="4"/>
      <c r="K300" s="4"/>
      <c r="L300" s="4"/>
      <c r="M300" s="4"/>
      <c r="N300" s="4"/>
      <c r="O300" s="4"/>
      <c r="P300" s="4"/>
      <c r="Q300" s="4"/>
      <c r="R300" s="4"/>
      <c r="S300" s="4"/>
    </row>
    <row r="301" spans="2:19" x14ac:dyDescent="0.2">
      <c r="B301" s="4"/>
      <c r="C301" s="4"/>
      <c r="D301" s="4"/>
      <c r="E301" s="4"/>
      <c r="F301" s="4"/>
      <c r="G301" s="4"/>
      <c r="H301" s="4"/>
      <c r="I301" s="4"/>
      <c r="J301" s="4"/>
      <c r="K301" s="4"/>
      <c r="L301" s="4"/>
      <c r="M301" s="4"/>
      <c r="N301" s="4"/>
      <c r="O301" s="4"/>
      <c r="P301" s="4"/>
      <c r="Q301" s="4"/>
      <c r="R301" s="4"/>
      <c r="S301" s="4"/>
    </row>
    <row r="302" spans="2:19" x14ac:dyDescent="0.2">
      <c r="B302" s="4"/>
      <c r="C302" s="4"/>
      <c r="D302" s="4"/>
      <c r="E302" s="4"/>
      <c r="F302" s="4"/>
      <c r="G302" s="4"/>
      <c r="H302" s="4"/>
      <c r="I302" s="4"/>
      <c r="J302" s="4"/>
      <c r="K302" s="4"/>
      <c r="L302" s="4"/>
      <c r="M302" s="4"/>
      <c r="N302" s="4"/>
      <c r="O302" s="4"/>
      <c r="P302" s="4"/>
      <c r="Q302" s="4"/>
      <c r="R302" s="4"/>
      <c r="S302" s="4"/>
    </row>
    <row r="303" spans="2:19" x14ac:dyDescent="0.2">
      <c r="B303" s="4"/>
      <c r="C303" s="4"/>
      <c r="D303" s="4"/>
      <c r="E303" s="4"/>
      <c r="F303" s="4"/>
      <c r="G303" s="4"/>
      <c r="H303" s="4"/>
      <c r="I303" s="4"/>
      <c r="J303" s="4"/>
      <c r="K303" s="4"/>
      <c r="L303" s="4"/>
      <c r="M303" s="4"/>
      <c r="N303" s="4"/>
      <c r="O303" s="4"/>
      <c r="P303" s="4"/>
      <c r="Q303" s="4"/>
      <c r="R303" s="4"/>
      <c r="S303" s="4"/>
    </row>
    <row r="304" spans="2:19" x14ac:dyDescent="0.2">
      <c r="B304" s="4"/>
      <c r="C304" s="4"/>
      <c r="D304" s="4"/>
      <c r="E304" s="4"/>
      <c r="F304" s="4"/>
      <c r="G304" s="4"/>
      <c r="H304" s="4"/>
      <c r="I304" s="4"/>
      <c r="J304" s="4"/>
      <c r="K304" s="4"/>
      <c r="L304" s="4"/>
      <c r="M304" s="4"/>
      <c r="N304" s="4"/>
      <c r="O304" s="4"/>
      <c r="P304" s="4"/>
      <c r="Q304" s="4"/>
      <c r="R304" s="4"/>
      <c r="S304" s="4"/>
    </row>
    <row r="305" spans="2:19" x14ac:dyDescent="0.2">
      <c r="B305" s="4"/>
      <c r="C305" s="4"/>
      <c r="D305" s="4"/>
      <c r="E305" s="4"/>
      <c r="F305" s="4"/>
      <c r="G305" s="4"/>
      <c r="H305" s="4"/>
      <c r="I305" s="4"/>
      <c r="J305" s="4"/>
      <c r="K305" s="4"/>
      <c r="L305" s="4"/>
      <c r="M305" s="4"/>
      <c r="N305" s="4"/>
      <c r="O305" s="4"/>
      <c r="P305" s="4"/>
      <c r="Q305" s="4"/>
      <c r="R305" s="4"/>
      <c r="S305" s="4"/>
    </row>
    <row r="306" spans="2:19" x14ac:dyDescent="0.2">
      <c r="B306" s="4"/>
      <c r="C306" s="4"/>
      <c r="D306" s="4"/>
      <c r="E306" s="4"/>
      <c r="F306" s="4"/>
      <c r="G306" s="4"/>
      <c r="H306" s="4"/>
      <c r="I306" s="4"/>
      <c r="J306" s="4"/>
      <c r="K306" s="4"/>
      <c r="L306" s="4"/>
      <c r="M306" s="4"/>
      <c r="N306" s="4"/>
      <c r="O306" s="4"/>
      <c r="P306" s="4"/>
      <c r="Q306" s="4"/>
      <c r="R306" s="4"/>
      <c r="S306" s="4"/>
    </row>
    <row r="307" spans="2:19" x14ac:dyDescent="0.2">
      <c r="B307" s="4"/>
      <c r="C307" s="4"/>
      <c r="D307" s="4"/>
      <c r="E307" s="4"/>
      <c r="F307" s="4"/>
      <c r="G307" s="4"/>
      <c r="H307" s="4"/>
      <c r="I307" s="4"/>
      <c r="J307" s="4"/>
      <c r="K307" s="4"/>
      <c r="L307" s="4"/>
      <c r="M307" s="4"/>
      <c r="N307" s="4"/>
      <c r="O307" s="4"/>
      <c r="P307" s="4"/>
      <c r="Q307" s="4"/>
      <c r="R307" s="4"/>
      <c r="S307" s="4"/>
    </row>
    <row r="308" spans="2:19" x14ac:dyDescent="0.2">
      <c r="B308" s="4"/>
      <c r="C308" s="4"/>
      <c r="D308" s="4"/>
      <c r="E308" s="4"/>
      <c r="F308" s="4"/>
      <c r="G308" s="4"/>
      <c r="H308" s="4"/>
      <c r="I308" s="4"/>
      <c r="J308" s="4"/>
      <c r="K308" s="4"/>
      <c r="L308" s="4"/>
      <c r="M308" s="4"/>
      <c r="N308" s="4"/>
      <c r="O308" s="4"/>
      <c r="P308" s="4"/>
      <c r="Q308" s="4"/>
      <c r="R308" s="4"/>
      <c r="S308" s="4"/>
    </row>
    <row r="309" spans="2:19" x14ac:dyDescent="0.2">
      <c r="B309" s="4"/>
      <c r="C309" s="4"/>
      <c r="D309" s="4"/>
      <c r="E309" s="4"/>
      <c r="F309" s="4"/>
      <c r="G309" s="4"/>
      <c r="H309" s="4"/>
      <c r="I309" s="4"/>
      <c r="J309" s="4"/>
      <c r="K309" s="4"/>
      <c r="L309" s="4"/>
      <c r="M309" s="4"/>
      <c r="N309" s="4"/>
      <c r="O309" s="4"/>
      <c r="P309" s="4"/>
      <c r="Q309" s="4"/>
      <c r="R309" s="4"/>
      <c r="S309" s="4"/>
    </row>
    <row r="310" spans="2:19" x14ac:dyDescent="0.2">
      <c r="B310" s="4"/>
      <c r="C310" s="4"/>
      <c r="D310" s="4"/>
      <c r="E310" s="4"/>
      <c r="F310" s="4"/>
      <c r="G310" s="4"/>
      <c r="H310" s="4"/>
      <c r="I310" s="4"/>
      <c r="J310" s="4"/>
      <c r="K310" s="4"/>
      <c r="L310" s="4"/>
      <c r="M310" s="4"/>
      <c r="N310" s="4"/>
      <c r="O310" s="4"/>
      <c r="P310" s="4"/>
      <c r="Q310" s="4"/>
      <c r="R310" s="4"/>
      <c r="S310" s="4"/>
    </row>
    <row r="311" spans="2:19" x14ac:dyDescent="0.2">
      <c r="B311" s="4"/>
      <c r="C311" s="4"/>
      <c r="D311" s="4"/>
      <c r="E311" s="4"/>
      <c r="F311" s="4"/>
      <c r="G311" s="4"/>
      <c r="H311" s="4"/>
      <c r="I311" s="4"/>
      <c r="J311" s="4"/>
      <c r="K311" s="4"/>
      <c r="L311" s="4"/>
      <c r="M311" s="4"/>
      <c r="N311" s="4"/>
      <c r="O311" s="4"/>
      <c r="P311" s="4"/>
      <c r="Q311" s="4"/>
      <c r="R311" s="4"/>
      <c r="S311" s="4"/>
    </row>
    <row r="312" spans="2:19" x14ac:dyDescent="0.2">
      <c r="B312" s="4"/>
      <c r="C312" s="4"/>
      <c r="D312" s="4"/>
      <c r="E312" s="4"/>
      <c r="F312" s="4"/>
      <c r="G312" s="4"/>
      <c r="H312" s="4"/>
      <c r="I312" s="4"/>
      <c r="J312" s="4"/>
      <c r="K312" s="4"/>
      <c r="L312" s="4"/>
      <c r="M312" s="4"/>
      <c r="N312" s="4"/>
      <c r="O312" s="4"/>
      <c r="P312" s="4"/>
      <c r="Q312" s="4"/>
      <c r="R312" s="4"/>
      <c r="S312" s="4"/>
    </row>
    <row r="313" spans="2:19" x14ac:dyDescent="0.2">
      <c r="B313" s="4"/>
      <c r="C313" s="4"/>
      <c r="D313" s="4"/>
      <c r="E313" s="4"/>
      <c r="F313" s="4"/>
      <c r="G313" s="4"/>
      <c r="H313" s="4"/>
      <c r="I313" s="4"/>
      <c r="J313" s="4"/>
      <c r="K313" s="4"/>
      <c r="L313" s="4"/>
      <c r="M313" s="4"/>
      <c r="N313" s="4"/>
      <c r="O313" s="4"/>
      <c r="P313" s="4"/>
      <c r="Q313" s="4"/>
      <c r="R313" s="4"/>
      <c r="S313" s="4"/>
    </row>
    <row r="314" spans="2:19" x14ac:dyDescent="0.2">
      <c r="B314" s="4"/>
      <c r="C314" s="4"/>
      <c r="D314" s="4"/>
      <c r="E314" s="4"/>
      <c r="F314" s="4"/>
      <c r="G314" s="4"/>
      <c r="H314" s="4"/>
      <c r="I314" s="4"/>
      <c r="J314" s="4"/>
      <c r="K314" s="4"/>
      <c r="L314" s="4"/>
      <c r="M314" s="4"/>
      <c r="N314" s="4"/>
      <c r="O314" s="4"/>
      <c r="P314" s="4"/>
      <c r="Q314" s="4"/>
      <c r="R314" s="4"/>
      <c r="S314" s="4"/>
    </row>
    <row r="315" spans="2:19" x14ac:dyDescent="0.2">
      <c r="B315" s="4"/>
      <c r="C315" s="4"/>
      <c r="D315" s="4"/>
      <c r="E315" s="4"/>
      <c r="F315" s="4"/>
      <c r="G315" s="4"/>
      <c r="H315" s="4"/>
      <c r="I315" s="4"/>
      <c r="J315" s="4"/>
      <c r="K315" s="4"/>
      <c r="L315" s="4"/>
      <c r="M315" s="4"/>
      <c r="N315" s="4"/>
      <c r="O315" s="4"/>
      <c r="P315" s="4"/>
      <c r="Q315" s="4"/>
      <c r="R315" s="4"/>
      <c r="S315" s="4"/>
    </row>
    <row r="316" spans="2:19" x14ac:dyDescent="0.2">
      <c r="B316" s="4"/>
      <c r="C316" s="4"/>
      <c r="D316" s="4"/>
      <c r="E316" s="4"/>
      <c r="F316" s="4"/>
      <c r="G316" s="4"/>
      <c r="H316" s="4"/>
      <c r="I316" s="4"/>
      <c r="J316" s="4"/>
      <c r="K316" s="4"/>
      <c r="L316" s="4"/>
      <c r="M316" s="4"/>
      <c r="N316" s="4"/>
      <c r="O316" s="4"/>
      <c r="P316" s="4"/>
      <c r="Q316" s="4"/>
      <c r="R316" s="4"/>
      <c r="S316" s="4"/>
    </row>
    <row r="317" spans="2:19" x14ac:dyDescent="0.2">
      <c r="B317" s="4"/>
      <c r="C317" s="4"/>
      <c r="D317" s="4"/>
      <c r="E317" s="4"/>
      <c r="F317" s="4"/>
      <c r="G317" s="4"/>
      <c r="H317" s="4"/>
      <c r="I317" s="4"/>
      <c r="J317" s="4"/>
      <c r="K317" s="4"/>
      <c r="L317" s="4"/>
      <c r="M317" s="4"/>
      <c r="N317" s="4"/>
      <c r="O317" s="4"/>
      <c r="P317" s="4"/>
      <c r="Q317" s="4"/>
      <c r="R317" s="4"/>
      <c r="S317" s="4"/>
    </row>
    <row r="318" spans="2:19" x14ac:dyDescent="0.2">
      <c r="B318" s="4"/>
      <c r="C318" s="4"/>
      <c r="D318" s="4"/>
      <c r="E318" s="4"/>
      <c r="F318" s="4"/>
      <c r="G318" s="4"/>
      <c r="H318" s="4"/>
      <c r="I318" s="4"/>
      <c r="J318" s="4"/>
      <c r="K318" s="4"/>
      <c r="L318" s="4"/>
      <c r="M318" s="4"/>
      <c r="N318" s="4"/>
      <c r="O318" s="4"/>
      <c r="P318" s="4"/>
      <c r="Q318" s="4"/>
      <c r="R318" s="4"/>
      <c r="S318" s="4"/>
    </row>
    <row r="319" spans="2:19" x14ac:dyDescent="0.2">
      <c r="B319" s="4"/>
      <c r="C319" s="4"/>
      <c r="D319" s="4"/>
      <c r="E319" s="4"/>
      <c r="F319" s="4"/>
      <c r="G319" s="4"/>
      <c r="H319" s="4"/>
      <c r="I319" s="4"/>
      <c r="J319" s="4"/>
      <c r="K319" s="4"/>
      <c r="L319" s="4"/>
      <c r="M319" s="4"/>
      <c r="N319" s="4"/>
      <c r="O319" s="4"/>
      <c r="P319" s="4"/>
      <c r="Q319" s="4"/>
      <c r="R319" s="4"/>
      <c r="S319" s="4"/>
    </row>
    <row r="320" spans="2:19" x14ac:dyDescent="0.2">
      <c r="B320" s="4"/>
      <c r="C320" s="4"/>
      <c r="D320" s="4"/>
      <c r="E320" s="4"/>
      <c r="F320" s="4"/>
      <c r="G320" s="4"/>
      <c r="H320" s="4"/>
      <c r="I320" s="4"/>
      <c r="J320" s="4"/>
      <c r="K320" s="4"/>
      <c r="L320" s="4"/>
      <c r="M320" s="4"/>
      <c r="N320" s="4"/>
      <c r="O320" s="4"/>
      <c r="P320" s="4"/>
      <c r="Q320" s="4"/>
      <c r="R320" s="4"/>
      <c r="S320" s="4"/>
    </row>
    <row r="321" spans="2:19" x14ac:dyDescent="0.2">
      <c r="B321" s="4"/>
      <c r="C321" s="4"/>
      <c r="D321" s="4"/>
      <c r="E321" s="4"/>
      <c r="F321" s="4"/>
      <c r="G321" s="4"/>
      <c r="H321" s="4"/>
      <c r="I321" s="4"/>
      <c r="J321" s="4"/>
      <c r="K321" s="4"/>
      <c r="L321" s="4"/>
      <c r="M321" s="4"/>
      <c r="N321" s="4"/>
      <c r="O321" s="4"/>
      <c r="P321" s="4"/>
      <c r="Q321" s="4"/>
      <c r="R321" s="4"/>
      <c r="S321" s="4"/>
    </row>
    <row r="322" spans="2:19" x14ac:dyDescent="0.2">
      <c r="B322" s="4"/>
      <c r="C322" s="4"/>
      <c r="D322" s="4"/>
      <c r="E322" s="4"/>
      <c r="F322" s="4"/>
      <c r="G322" s="4"/>
      <c r="H322" s="4"/>
      <c r="I322" s="4"/>
      <c r="J322" s="4"/>
      <c r="K322" s="4"/>
      <c r="L322" s="4"/>
      <c r="M322" s="4"/>
      <c r="N322" s="4"/>
      <c r="O322" s="4"/>
      <c r="P322" s="4"/>
      <c r="Q322" s="4"/>
      <c r="R322" s="4"/>
      <c r="S322" s="4"/>
    </row>
    <row r="323" spans="2:19" x14ac:dyDescent="0.2">
      <c r="B323" s="4"/>
      <c r="C323" s="4"/>
      <c r="D323" s="4"/>
      <c r="E323" s="4"/>
      <c r="F323" s="4"/>
      <c r="G323" s="4"/>
      <c r="H323" s="4"/>
      <c r="I323" s="4"/>
      <c r="J323" s="4"/>
      <c r="K323" s="4"/>
      <c r="L323" s="4"/>
      <c r="M323" s="4"/>
      <c r="N323" s="4"/>
      <c r="O323" s="4"/>
      <c r="P323" s="4"/>
      <c r="Q323" s="4"/>
      <c r="R323" s="4"/>
      <c r="S323" s="4"/>
    </row>
    <row r="324" spans="2:19" x14ac:dyDescent="0.2">
      <c r="B324" s="4"/>
      <c r="C324" s="4"/>
      <c r="D324" s="4"/>
      <c r="E324" s="4"/>
      <c r="F324" s="4"/>
      <c r="G324" s="4"/>
      <c r="H324" s="4"/>
      <c r="I324" s="4"/>
      <c r="J324" s="4"/>
      <c r="K324" s="4"/>
      <c r="L324" s="4"/>
      <c r="M324" s="4"/>
      <c r="N324" s="4"/>
      <c r="O324" s="4"/>
      <c r="P324" s="4"/>
      <c r="Q324" s="4"/>
      <c r="R324" s="4"/>
      <c r="S324" s="4"/>
    </row>
    <row r="325" spans="2:19" x14ac:dyDescent="0.2">
      <c r="B325" s="4"/>
      <c r="C325" s="4"/>
      <c r="D325" s="4"/>
      <c r="E325" s="4"/>
      <c r="F325" s="4"/>
      <c r="G325" s="4"/>
      <c r="H325" s="4"/>
      <c r="I325" s="4"/>
      <c r="J325" s="4"/>
      <c r="K325" s="4"/>
      <c r="L325" s="4"/>
      <c r="M325" s="4"/>
      <c r="N325" s="4"/>
      <c r="O325" s="4"/>
      <c r="P325" s="4"/>
      <c r="Q325" s="4"/>
      <c r="R325" s="4"/>
      <c r="S325" s="4"/>
    </row>
    <row r="326" spans="2:19" x14ac:dyDescent="0.2">
      <c r="B326" s="4"/>
      <c r="C326" s="4"/>
      <c r="D326" s="4"/>
      <c r="E326" s="4"/>
      <c r="F326" s="4"/>
      <c r="G326" s="4"/>
      <c r="H326" s="4"/>
      <c r="I326" s="4"/>
      <c r="J326" s="4"/>
      <c r="K326" s="4"/>
      <c r="L326" s="4"/>
      <c r="M326" s="4"/>
      <c r="N326" s="4"/>
      <c r="O326" s="4"/>
      <c r="P326" s="4"/>
      <c r="Q326" s="4"/>
      <c r="R326" s="4"/>
      <c r="S326" s="4"/>
    </row>
    <row r="327" spans="2:19" x14ac:dyDescent="0.2">
      <c r="B327" s="4"/>
      <c r="C327" s="4"/>
      <c r="D327" s="4"/>
      <c r="E327" s="4"/>
      <c r="F327" s="4"/>
      <c r="G327" s="4"/>
      <c r="H327" s="4"/>
      <c r="I327" s="4"/>
      <c r="J327" s="4"/>
      <c r="K327" s="4"/>
      <c r="L327" s="4"/>
      <c r="M327" s="4"/>
      <c r="N327" s="4"/>
      <c r="O327" s="4"/>
      <c r="P327" s="4"/>
      <c r="Q327" s="4"/>
      <c r="R327" s="4"/>
      <c r="S327" s="4"/>
    </row>
    <row r="328" spans="2:19" x14ac:dyDescent="0.2">
      <c r="B328" s="4"/>
      <c r="C328" s="4"/>
      <c r="D328" s="4"/>
      <c r="E328" s="4"/>
      <c r="F328" s="4"/>
      <c r="G328" s="4"/>
      <c r="H328" s="4"/>
      <c r="I328" s="4"/>
      <c r="J328" s="4"/>
      <c r="K328" s="4"/>
      <c r="L328" s="4"/>
      <c r="M328" s="4"/>
      <c r="N328" s="4"/>
      <c r="O328" s="4"/>
      <c r="P328" s="4"/>
      <c r="Q328" s="4"/>
      <c r="R328" s="4"/>
      <c r="S328" s="4"/>
    </row>
    <row r="329" spans="2:19" x14ac:dyDescent="0.2">
      <c r="B329" s="4"/>
      <c r="C329" s="4"/>
      <c r="D329" s="4"/>
      <c r="E329" s="4"/>
      <c r="F329" s="4"/>
      <c r="G329" s="4"/>
      <c r="H329" s="4"/>
      <c r="I329" s="4"/>
      <c r="J329" s="4"/>
      <c r="K329" s="4"/>
      <c r="L329" s="4"/>
      <c r="M329" s="4"/>
      <c r="N329" s="4"/>
      <c r="O329" s="4"/>
      <c r="P329" s="4"/>
      <c r="Q329" s="4"/>
      <c r="R329" s="4"/>
      <c r="S329" s="4"/>
    </row>
    <row r="330" spans="2:19" x14ac:dyDescent="0.2">
      <c r="B330" s="4"/>
      <c r="C330" s="4"/>
      <c r="D330" s="4"/>
      <c r="E330" s="4"/>
      <c r="F330" s="4"/>
      <c r="G330" s="4"/>
      <c r="H330" s="4"/>
      <c r="I330" s="4"/>
      <c r="J330" s="4"/>
      <c r="K330" s="4"/>
      <c r="L330" s="4"/>
      <c r="M330" s="4"/>
      <c r="N330" s="4"/>
      <c r="O330" s="4"/>
      <c r="P330" s="4"/>
      <c r="Q330" s="4"/>
      <c r="R330" s="4"/>
      <c r="S330" s="4"/>
    </row>
    <row r="331" spans="2:19" x14ac:dyDescent="0.2">
      <c r="B331" s="4"/>
      <c r="C331" s="4"/>
      <c r="D331" s="4"/>
      <c r="E331" s="4"/>
      <c r="F331" s="4"/>
      <c r="G331" s="4"/>
      <c r="H331" s="4"/>
      <c r="I331" s="4"/>
      <c r="J331" s="4"/>
      <c r="K331" s="4"/>
      <c r="L331" s="4"/>
      <c r="M331" s="4"/>
      <c r="N331" s="4"/>
      <c r="O331" s="4"/>
      <c r="P331" s="4"/>
      <c r="Q331" s="4"/>
      <c r="R331" s="4"/>
      <c r="S331" s="4"/>
    </row>
    <row r="332" spans="2:19" x14ac:dyDescent="0.2">
      <c r="B332" s="4"/>
      <c r="C332" s="4"/>
      <c r="D332" s="4"/>
      <c r="E332" s="4"/>
      <c r="F332" s="4"/>
      <c r="G332" s="4"/>
      <c r="H332" s="4"/>
      <c r="I332" s="4"/>
      <c r="J332" s="4"/>
      <c r="K332" s="4"/>
      <c r="L332" s="4"/>
      <c r="M332" s="4"/>
      <c r="N332" s="4"/>
      <c r="O332" s="4"/>
      <c r="P332" s="4"/>
      <c r="Q332" s="4"/>
      <c r="R332" s="4"/>
      <c r="S332" s="4"/>
    </row>
    <row r="333" spans="2:19" x14ac:dyDescent="0.2">
      <c r="B333" s="4"/>
      <c r="C333" s="4"/>
      <c r="D333" s="4"/>
      <c r="E333" s="4"/>
      <c r="F333" s="4"/>
      <c r="G333" s="4"/>
      <c r="H333" s="4"/>
      <c r="I333" s="4"/>
      <c r="J333" s="4"/>
      <c r="K333" s="4"/>
      <c r="L333" s="4"/>
      <c r="M333" s="4"/>
      <c r="N333" s="4"/>
      <c r="O333" s="4"/>
      <c r="P333" s="4"/>
      <c r="Q333" s="4"/>
      <c r="R333" s="4"/>
      <c r="S333" s="4"/>
    </row>
    <row r="334" spans="2:19" x14ac:dyDescent="0.2">
      <c r="B334" s="4"/>
      <c r="C334" s="4"/>
      <c r="D334" s="4"/>
      <c r="E334" s="4"/>
      <c r="F334" s="4"/>
      <c r="G334" s="4"/>
      <c r="H334" s="4"/>
      <c r="I334" s="4"/>
      <c r="J334" s="4"/>
      <c r="K334" s="4"/>
      <c r="L334" s="4"/>
      <c r="M334" s="4"/>
      <c r="N334" s="4"/>
      <c r="O334" s="4"/>
      <c r="P334" s="4"/>
      <c r="Q334" s="4"/>
      <c r="R334" s="4"/>
      <c r="S334" s="4"/>
    </row>
    <row r="335" spans="2:19" x14ac:dyDescent="0.2">
      <c r="B335" s="4"/>
      <c r="C335" s="4"/>
      <c r="D335" s="4"/>
      <c r="E335" s="4"/>
      <c r="F335" s="4"/>
      <c r="G335" s="4"/>
      <c r="H335" s="4"/>
      <c r="I335" s="4"/>
      <c r="J335" s="4"/>
      <c r="K335" s="4"/>
      <c r="L335" s="4"/>
      <c r="M335" s="4"/>
      <c r="N335" s="4"/>
      <c r="O335" s="4"/>
      <c r="P335" s="4"/>
      <c r="Q335" s="4"/>
      <c r="R335" s="4"/>
      <c r="S335" s="4"/>
    </row>
    <row r="336" spans="2:19" x14ac:dyDescent="0.2">
      <c r="B336" s="4"/>
      <c r="C336" s="4"/>
      <c r="D336" s="4"/>
      <c r="E336" s="4"/>
      <c r="F336" s="4"/>
      <c r="G336" s="4"/>
      <c r="H336" s="4"/>
      <c r="I336" s="4"/>
      <c r="J336" s="4"/>
      <c r="K336" s="4"/>
      <c r="L336" s="4"/>
      <c r="M336" s="4"/>
      <c r="N336" s="4"/>
      <c r="O336" s="4"/>
      <c r="P336" s="4"/>
      <c r="Q336" s="4"/>
      <c r="R336" s="4"/>
      <c r="S336" s="4"/>
    </row>
    <row r="337" spans="2:19" x14ac:dyDescent="0.2">
      <c r="B337" s="4"/>
      <c r="C337" s="4"/>
      <c r="D337" s="4"/>
      <c r="E337" s="4"/>
      <c r="F337" s="4"/>
      <c r="G337" s="4"/>
      <c r="H337" s="4"/>
      <c r="I337" s="4"/>
      <c r="J337" s="4"/>
      <c r="K337" s="4"/>
      <c r="L337" s="4"/>
      <c r="M337" s="4"/>
      <c r="N337" s="4"/>
      <c r="O337" s="4"/>
      <c r="P337" s="4"/>
      <c r="Q337" s="4"/>
      <c r="R337" s="4"/>
      <c r="S337" s="4"/>
    </row>
    <row r="338" spans="2:19" x14ac:dyDescent="0.2">
      <c r="B338" s="4"/>
      <c r="C338" s="4"/>
      <c r="D338" s="4"/>
      <c r="E338" s="4"/>
      <c r="F338" s="4"/>
      <c r="G338" s="4"/>
      <c r="H338" s="4"/>
      <c r="I338" s="4"/>
      <c r="J338" s="4"/>
      <c r="K338" s="4"/>
      <c r="L338" s="4"/>
      <c r="M338" s="4"/>
      <c r="N338" s="4"/>
      <c r="O338" s="4"/>
      <c r="P338" s="4"/>
      <c r="Q338" s="4"/>
      <c r="R338" s="4"/>
      <c r="S338" s="4"/>
    </row>
    <row r="339" spans="2:19" x14ac:dyDescent="0.2">
      <c r="B339" s="4"/>
      <c r="C339" s="4"/>
      <c r="D339" s="4"/>
      <c r="E339" s="4"/>
      <c r="F339" s="4"/>
      <c r="G339" s="4"/>
      <c r="H339" s="4"/>
      <c r="I339" s="4"/>
      <c r="J339" s="4"/>
      <c r="K339" s="4"/>
      <c r="L339" s="4"/>
      <c r="M339" s="4"/>
      <c r="N339" s="4"/>
      <c r="O339" s="4"/>
      <c r="P339" s="4"/>
      <c r="Q339" s="4"/>
      <c r="R339" s="4"/>
      <c r="S339" s="4"/>
    </row>
    <row r="340" spans="2:19" x14ac:dyDescent="0.2">
      <c r="B340" s="4"/>
      <c r="C340" s="4"/>
      <c r="D340" s="4"/>
      <c r="E340" s="4"/>
      <c r="F340" s="4"/>
      <c r="G340" s="4"/>
      <c r="H340" s="4"/>
      <c r="I340" s="4"/>
      <c r="J340" s="4"/>
      <c r="K340" s="4"/>
      <c r="L340" s="4"/>
      <c r="M340" s="4"/>
      <c r="N340" s="4"/>
      <c r="O340" s="4"/>
      <c r="P340" s="4"/>
      <c r="Q340" s="4"/>
      <c r="R340" s="4"/>
      <c r="S340" s="4"/>
    </row>
    <row r="341" spans="2:19" x14ac:dyDescent="0.2">
      <c r="B341" s="4"/>
      <c r="C341" s="4"/>
      <c r="D341" s="4"/>
      <c r="E341" s="4"/>
      <c r="F341" s="4"/>
      <c r="G341" s="4"/>
      <c r="H341" s="4"/>
      <c r="I341" s="4"/>
      <c r="J341" s="4"/>
      <c r="K341" s="4"/>
      <c r="L341" s="4"/>
      <c r="M341" s="4"/>
      <c r="N341" s="4"/>
      <c r="O341" s="4"/>
      <c r="P341" s="4"/>
      <c r="Q341" s="4"/>
      <c r="R341" s="4"/>
      <c r="S341" s="4"/>
    </row>
    <row r="342" spans="2:19" x14ac:dyDescent="0.2">
      <c r="B342" s="4"/>
      <c r="C342" s="4"/>
      <c r="D342" s="4"/>
      <c r="E342" s="4"/>
      <c r="F342" s="4"/>
      <c r="G342" s="4"/>
      <c r="H342" s="4"/>
      <c r="I342" s="4"/>
      <c r="J342" s="4"/>
      <c r="K342" s="4"/>
      <c r="L342" s="4"/>
      <c r="M342" s="4"/>
      <c r="N342" s="4"/>
      <c r="O342" s="4"/>
      <c r="P342" s="4"/>
      <c r="Q342" s="4"/>
      <c r="R342" s="4"/>
      <c r="S342" s="4"/>
    </row>
    <row r="343" spans="2:19" x14ac:dyDescent="0.2">
      <c r="B343" s="4"/>
      <c r="C343" s="4"/>
      <c r="D343" s="4"/>
      <c r="E343" s="4"/>
      <c r="F343" s="4"/>
      <c r="G343" s="4"/>
      <c r="H343" s="4"/>
      <c r="I343" s="4"/>
      <c r="J343" s="4"/>
      <c r="K343" s="4"/>
      <c r="L343" s="4"/>
      <c r="M343" s="4"/>
      <c r="N343" s="4"/>
      <c r="O343" s="4"/>
      <c r="P343" s="4"/>
      <c r="Q343" s="4"/>
      <c r="R343" s="4"/>
      <c r="S343" s="4"/>
    </row>
    <row r="344" spans="2:19" x14ac:dyDescent="0.2">
      <c r="B344" s="4"/>
      <c r="C344" s="4"/>
      <c r="D344" s="4"/>
      <c r="E344" s="4"/>
      <c r="F344" s="4"/>
      <c r="G344" s="4"/>
      <c r="H344" s="4"/>
      <c r="I344" s="4"/>
      <c r="J344" s="4"/>
      <c r="K344" s="4"/>
      <c r="L344" s="4"/>
      <c r="M344" s="4"/>
      <c r="N344" s="4"/>
      <c r="O344" s="4"/>
      <c r="P344" s="4"/>
      <c r="Q344" s="4"/>
      <c r="R344" s="4"/>
      <c r="S344" s="4"/>
    </row>
    <row r="345" spans="2:19" x14ac:dyDescent="0.2">
      <c r="B345" s="4"/>
      <c r="C345" s="4"/>
      <c r="D345" s="4"/>
      <c r="E345" s="4"/>
      <c r="F345" s="4"/>
      <c r="G345" s="4"/>
      <c r="H345" s="4"/>
      <c r="I345" s="4"/>
      <c r="J345" s="4"/>
      <c r="K345" s="4"/>
      <c r="L345" s="4"/>
      <c r="M345" s="4"/>
      <c r="N345" s="4"/>
      <c r="O345" s="4"/>
      <c r="P345" s="4"/>
      <c r="Q345" s="4"/>
      <c r="R345" s="4"/>
      <c r="S345" s="4"/>
    </row>
    <row r="346" spans="2:19" x14ac:dyDescent="0.2">
      <c r="B346" s="4"/>
      <c r="C346" s="4"/>
      <c r="D346" s="4"/>
      <c r="E346" s="4"/>
      <c r="F346" s="4"/>
      <c r="G346" s="4"/>
      <c r="H346" s="4"/>
      <c r="I346" s="4"/>
      <c r="J346" s="4"/>
      <c r="K346" s="4"/>
      <c r="L346" s="4"/>
      <c r="M346" s="4"/>
      <c r="N346" s="4"/>
      <c r="O346" s="4"/>
      <c r="P346" s="4"/>
      <c r="Q346" s="4"/>
      <c r="R346" s="4"/>
      <c r="S346" s="4"/>
    </row>
    <row r="347" spans="2:19" x14ac:dyDescent="0.2">
      <c r="B347" s="4"/>
      <c r="C347" s="4"/>
      <c r="D347" s="4"/>
      <c r="E347" s="4"/>
      <c r="F347" s="4"/>
      <c r="G347" s="4"/>
      <c r="H347" s="4"/>
      <c r="I347" s="4"/>
      <c r="J347" s="4"/>
      <c r="K347" s="4"/>
      <c r="L347" s="4"/>
      <c r="M347" s="4"/>
      <c r="N347" s="4"/>
      <c r="O347" s="4"/>
      <c r="P347" s="4"/>
      <c r="Q347" s="4"/>
      <c r="R347" s="4"/>
      <c r="S347" s="4"/>
    </row>
    <row r="348" spans="2:19" x14ac:dyDescent="0.2">
      <c r="B348" s="4"/>
      <c r="C348" s="4"/>
      <c r="D348" s="4"/>
      <c r="E348" s="4"/>
      <c r="F348" s="4"/>
      <c r="G348" s="4"/>
      <c r="H348" s="4"/>
      <c r="I348" s="4"/>
      <c r="J348" s="4"/>
      <c r="K348" s="4"/>
      <c r="L348" s="4"/>
      <c r="M348" s="4"/>
      <c r="N348" s="4"/>
      <c r="O348" s="4"/>
      <c r="P348" s="4"/>
      <c r="Q348" s="4"/>
      <c r="R348" s="4"/>
      <c r="S348" s="4"/>
    </row>
    <row r="349" spans="2:19" x14ac:dyDescent="0.2">
      <c r="B349" s="4"/>
      <c r="C349" s="4"/>
      <c r="D349" s="4"/>
      <c r="E349" s="4"/>
      <c r="F349" s="4"/>
      <c r="G349" s="4"/>
      <c r="H349" s="4"/>
      <c r="I349" s="4"/>
      <c r="J349" s="4"/>
      <c r="K349" s="4"/>
      <c r="L349" s="4"/>
      <c r="M349" s="4"/>
      <c r="N349" s="4"/>
      <c r="O349" s="4"/>
      <c r="P349" s="4"/>
      <c r="Q349" s="4"/>
      <c r="R349" s="4"/>
      <c r="S349" s="4"/>
    </row>
    <row r="350" spans="2:19" x14ac:dyDescent="0.2">
      <c r="B350" s="4"/>
      <c r="C350" s="4"/>
      <c r="D350" s="4"/>
      <c r="E350" s="4"/>
      <c r="F350" s="4"/>
      <c r="G350" s="4"/>
      <c r="H350" s="4"/>
      <c r="I350" s="4"/>
      <c r="J350" s="4"/>
      <c r="K350" s="4"/>
      <c r="L350" s="4"/>
      <c r="M350" s="4"/>
      <c r="N350" s="4"/>
      <c r="O350" s="4"/>
      <c r="P350" s="4"/>
      <c r="Q350" s="4"/>
      <c r="R350" s="4"/>
      <c r="S350" s="4"/>
    </row>
    <row r="351" spans="2:19" x14ac:dyDescent="0.2">
      <c r="B351" s="4"/>
      <c r="C351" s="4"/>
      <c r="D351" s="4"/>
      <c r="E351" s="4"/>
      <c r="F351" s="4"/>
      <c r="G351" s="4"/>
      <c r="H351" s="4"/>
      <c r="I351" s="4"/>
      <c r="J351" s="4"/>
      <c r="K351" s="4"/>
      <c r="L351" s="4"/>
      <c r="M351" s="4"/>
      <c r="N351" s="4"/>
      <c r="O351" s="4"/>
      <c r="P351" s="4"/>
      <c r="Q351" s="4"/>
      <c r="R351" s="4"/>
      <c r="S351" s="4"/>
    </row>
    <row r="352" spans="2:19" x14ac:dyDescent="0.2">
      <c r="B352" s="4"/>
      <c r="C352" s="4"/>
      <c r="D352" s="4"/>
      <c r="E352" s="4"/>
      <c r="F352" s="4"/>
      <c r="G352" s="4"/>
      <c r="H352" s="4"/>
      <c r="I352" s="4"/>
      <c r="J352" s="4"/>
      <c r="K352" s="4"/>
      <c r="L352" s="4"/>
      <c r="M352" s="4"/>
      <c r="N352" s="4"/>
      <c r="O352" s="4"/>
      <c r="P352" s="4"/>
      <c r="Q352" s="4"/>
      <c r="R352" s="4"/>
      <c r="S352" s="4"/>
    </row>
    <row r="353" spans="2:19" x14ac:dyDescent="0.2">
      <c r="B353" s="4"/>
      <c r="C353" s="4"/>
      <c r="D353" s="4"/>
      <c r="E353" s="4"/>
      <c r="F353" s="4"/>
      <c r="G353" s="4"/>
      <c r="H353" s="4"/>
      <c r="I353" s="4"/>
      <c r="J353" s="4"/>
      <c r="K353" s="4"/>
      <c r="L353" s="4"/>
      <c r="M353" s="4"/>
      <c r="N353" s="4"/>
      <c r="O353" s="4"/>
      <c r="P353" s="4"/>
      <c r="Q353" s="4"/>
      <c r="R353" s="4"/>
      <c r="S353" s="4"/>
    </row>
    <row r="354" spans="2:19" x14ac:dyDescent="0.2">
      <c r="B354" s="4"/>
      <c r="C354" s="4"/>
      <c r="D354" s="4"/>
      <c r="E354" s="4"/>
      <c r="F354" s="4"/>
      <c r="G354" s="4"/>
      <c r="H354" s="4"/>
      <c r="I354" s="4"/>
      <c r="J354" s="4"/>
      <c r="K354" s="4"/>
      <c r="L354" s="4"/>
      <c r="M354" s="4"/>
      <c r="N354" s="4"/>
      <c r="O354" s="4"/>
      <c r="P354" s="4"/>
      <c r="Q354" s="4"/>
      <c r="R354" s="4"/>
      <c r="S354" s="4"/>
    </row>
    <row r="355" spans="2:19" x14ac:dyDescent="0.2">
      <c r="B355" s="4"/>
      <c r="C355" s="4"/>
      <c r="D355" s="4"/>
      <c r="E355" s="4"/>
      <c r="F355" s="4"/>
      <c r="G355" s="4"/>
      <c r="H355" s="4"/>
      <c r="I355" s="4"/>
      <c r="J355" s="4"/>
      <c r="K355" s="4"/>
      <c r="L355" s="4"/>
      <c r="M355" s="4"/>
      <c r="N355" s="4"/>
      <c r="O355" s="4"/>
      <c r="P355" s="4"/>
      <c r="Q355" s="4"/>
      <c r="R355" s="4"/>
      <c r="S355" s="4"/>
    </row>
    <row r="356" spans="2:19" x14ac:dyDescent="0.2">
      <c r="B356" s="4"/>
      <c r="C356" s="4"/>
      <c r="D356" s="4"/>
      <c r="E356" s="4"/>
      <c r="F356" s="4"/>
      <c r="G356" s="4"/>
      <c r="H356" s="4"/>
      <c r="I356" s="4"/>
      <c r="J356" s="4"/>
      <c r="K356" s="4"/>
      <c r="L356" s="4"/>
      <c r="M356" s="4"/>
      <c r="N356" s="4"/>
      <c r="O356" s="4"/>
      <c r="P356" s="4"/>
      <c r="Q356" s="4"/>
      <c r="R356" s="4"/>
      <c r="S356" s="4"/>
    </row>
    <row r="357" spans="2:19" x14ac:dyDescent="0.2">
      <c r="B357" s="4"/>
      <c r="C357" s="4"/>
      <c r="D357" s="4"/>
      <c r="E357" s="4"/>
      <c r="F357" s="4"/>
      <c r="G357" s="4"/>
      <c r="H357" s="4"/>
      <c r="I357" s="4"/>
      <c r="J357" s="4"/>
      <c r="K357" s="4"/>
      <c r="L357" s="4"/>
      <c r="M357" s="4"/>
      <c r="N357" s="4"/>
      <c r="O357" s="4"/>
      <c r="P357" s="4"/>
      <c r="Q357" s="4"/>
      <c r="R357" s="4"/>
      <c r="S357" s="4"/>
    </row>
    <row r="358" spans="2:19" x14ac:dyDescent="0.2">
      <c r="B358" s="4"/>
      <c r="C358" s="4"/>
      <c r="D358" s="4"/>
      <c r="E358" s="4"/>
      <c r="F358" s="4"/>
      <c r="G358" s="4"/>
      <c r="H358" s="4"/>
      <c r="I358" s="4"/>
      <c r="J358" s="4"/>
      <c r="K358" s="4"/>
      <c r="L358" s="4"/>
      <c r="M358" s="4"/>
      <c r="N358" s="4"/>
      <c r="O358" s="4"/>
      <c r="P358" s="4"/>
      <c r="Q358" s="4"/>
      <c r="R358" s="4"/>
      <c r="S358" s="4"/>
    </row>
    <row r="359" spans="2:19" x14ac:dyDescent="0.2">
      <c r="B359" s="4"/>
      <c r="C359" s="4"/>
      <c r="D359" s="4"/>
      <c r="E359" s="4"/>
      <c r="F359" s="4"/>
      <c r="G359" s="4"/>
      <c r="H359" s="4"/>
      <c r="I359" s="4"/>
      <c r="J359" s="4"/>
      <c r="K359" s="4"/>
      <c r="L359" s="4"/>
      <c r="M359" s="4"/>
      <c r="N359" s="4"/>
      <c r="O359" s="4"/>
      <c r="P359" s="4"/>
      <c r="Q359" s="4"/>
      <c r="R359" s="4"/>
      <c r="S359" s="4"/>
    </row>
    <row r="360" spans="2:19" x14ac:dyDescent="0.2">
      <c r="B360" s="4"/>
      <c r="C360" s="4"/>
      <c r="D360" s="4"/>
      <c r="E360" s="4"/>
      <c r="F360" s="4"/>
      <c r="G360" s="4"/>
      <c r="H360" s="4"/>
      <c r="I360" s="4"/>
      <c r="J360" s="4"/>
      <c r="K360" s="4"/>
      <c r="L360" s="4"/>
      <c r="M360" s="4"/>
      <c r="N360" s="4"/>
      <c r="O360" s="4"/>
      <c r="P360" s="4"/>
      <c r="Q360" s="4"/>
      <c r="R360" s="4"/>
      <c r="S360" s="4"/>
    </row>
    <row r="361" spans="2:19" x14ac:dyDescent="0.2">
      <c r="B361" s="4"/>
      <c r="C361" s="4"/>
      <c r="D361" s="4"/>
      <c r="E361" s="4"/>
      <c r="F361" s="4"/>
      <c r="G361" s="4"/>
      <c r="H361" s="4"/>
      <c r="I361" s="4"/>
      <c r="J361" s="4"/>
      <c r="K361" s="4"/>
      <c r="L361" s="4"/>
      <c r="M361" s="4"/>
      <c r="N361" s="4"/>
      <c r="O361" s="4"/>
      <c r="P361" s="4"/>
      <c r="Q361" s="4"/>
      <c r="R361" s="4"/>
      <c r="S361" s="4"/>
    </row>
    <row r="362" spans="2:19" x14ac:dyDescent="0.2">
      <c r="B362" s="4"/>
      <c r="C362" s="4"/>
      <c r="D362" s="4"/>
      <c r="E362" s="4"/>
      <c r="F362" s="4"/>
      <c r="G362" s="4"/>
      <c r="H362" s="4"/>
      <c r="I362" s="4"/>
      <c r="J362" s="4"/>
      <c r="K362" s="4"/>
      <c r="L362" s="4"/>
      <c r="M362" s="4"/>
      <c r="N362" s="4"/>
      <c r="O362" s="4"/>
      <c r="P362" s="4"/>
      <c r="Q362" s="4"/>
      <c r="R362" s="4"/>
      <c r="S362" s="4"/>
    </row>
    <row r="363" spans="2:19" x14ac:dyDescent="0.2">
      <c r="B363" s="4"/>
      <c r="C363" s="4"/>
      <c r="D363" s="4"/>
      <c r="E363" s="4"/>
      <c r="F363" s="4"/>
      <c r="G363" s="4"/>
      <c r="H363" s="4"/>
      <c r="I363" s="4"/>
      <c r="J363" s="4"/>
      <c r="K363" s="4"/>
      <c r="L363" s="4"/>
      <c r="M363" s="4"/>
      <c r="N363" s="4"/>
      <c r="O363" s="4"/>
      <c r="P363" s="4"/>
      <c r="Q363" s="4"/>
      <c r="R363" s="4"/>
      <c r="S363" s="4"/>
    </row>
    <row r="364" spans="2:19" x14ac:dyDescent="0.2">
      <c r="B364" s="4"/>
      <c r="C364" s="4"/>
      <c r="D364" s="4"/>
      <c r="E364" s="4"/>
      <c r="F364" s="4"/>
      <c r="G364" s="4"/>
      <c r="H364" s="4"/>
      <c r="I364" s="4"/>
      <c r="J364" s="4"/>
      <c r="K364" s="4"/>
      <c r="L364" s="4"/>
      <c r="M364" s="4"/>
      <c r="N364" s="4"/>
      <c r="O364" s="4"/>
      <c r="P364" s="4"/>
      <c r="Q364" s="4"/>
      <c r="R364" s="4"/>
      <c r="S364" s="4"/>
    </row>
    <row r="365" spans="2:19" x14ac:dyDescent="0.2">
      <c r="B365" s="4"/>
      <c r="C365" s="4"/>
      <c r="D365" s="4"/>
      <c r="E365" s="4"/>
      <c r="F365" s="4"/>
      <c r="G365" s="4"/>
      <c r="H365" s="4"/>
      <c r="I365" s="4"/>
      <c r="J365" s="4"/>
      <c r="K365" s="4"/>
      <c r="L365" s="4"/>
      <c r="M365" s="4"/>
      <c r="N365" s="4"/>
      <c r="O365" s="4"/>
      <c r="P365" s="4"/>
      <c r="Q365" s="4"/>
      <c r="R365" s="4"/>
      <c r="S365" s="4"/>
    </row>
    <row r="366" spans="2:19" x14ac:dyDescent="0.2">
      <c r="B366" s="4"/>
      <c r="C366" s="4"/>
      <c r="D366" s="4"/>
      <c r="E366" s="4"/>
      <c r="F366" s="4"/>
      <c r="G366" s="4"/>
      <c r="H366" s="4"/>
      <c r="I366" s="4"/>
      <c r="J366" s="4"/>
      <c r="K366" s="4"/>
      <c r="L366" s="4"/>
      <c r="M366" s="4"/>
      <c r="N366" s="4"/>
      <c r="O366" s="4"/>
      <c r="P366" s="4"/>
      <c r="Q366" s="4"/>
      <c r="R366" s="4"/>
      <c r="S366" s="4"/>
    </row>
    <row r="367" spans="2:19" x14ac:dyDescent="0.2">
      <c r="B367" s="4"/>
      <c r="C367" s="4"/>
      <c r="D367" s="4"/>
      <c r="E367" s="4"/>
      <c r="F367" s="4"/>
      <c r="G367" s="4"/>
      <c r="H367" s="4"/>
      <c r="I367" s="4"/>
      <c r="J367" s="4"/>
      <c r="K367" s="4"/>
      <c r="L367" s="4"/>
      <c r="M367" s="4"/>
      <c r="N367" s="4"/>
      <c r="O367" s="4"/>
      <c r="P367" s="4"/>
      <c r="Q367" s="4"/>
      <c r="R367" s="4"/>
      <c r="S367" s="4"/>
    </row>
    <row r="368" spans="2:19" x14ac:dyDescent="0.2">
      <c r="B368" s="4"/>
      <c r="C368" s="4"/>
      <c r="D368" s="4"/>
      <c r="E368" s="4"/>
      <c r="F368" s="4"/>
      <c r="G368" s="4"/>
      <c r="H368" s="4"/>
      <c r="I368" s="4"/>
      <c r="J368" s="4"/>
      <c r="K368" s="4"/>
      <c r="L368" s="4"/>
      <c r="M368" s="4"/>
      <c r="N368" s="4"/>
      <c r="O368" s="4"/>
      <c r="P368" s="4"/>
      <c r="Q368" s="4"/>
      <c r="R368" s="4"/>
      <c r="S368" s="4"/>
    </row>
    <row r="369" spans="2:19" x14ac:dyDescent="0.2">
      <c r="B369" s="4"/>
      <c r="C369" s="4"/>
      <c r="D369" s="4"/>
      <c r="E369" s="4"/>
      <c r="F369" s="4"/>
      <c r="G369" s="4"/>
      <c r="H369" s="4"/>
      <c r="I369" s="4"/>
      <c r="J369" s="4"/>
      <c r="K369" s="4"/>
      <c r="L369" s="4"/>
      <c r="M369" s="4"/>
      <c r="N369" s="4"/>
      <c r="O369" s="4"/>
      <c r="P369" s="4"/>
      <c r="Q369" s="4"/>
      <c r="R369" s="4"/>
      <c r="S369" s="4"/>
    </row>
    <row r="370" spans="2:19" x14ac:dyDescent="0.2">
      <c r="B370" s="4"/>
      <c r="C370" s="4"/>
      <c r="D370" s="4"/>
      <c r="E370" s="4"/>
      <c r="F370" s="4"/>
      <c r="G370" s="4"/>
      <c r="H370" s="4"/>
      <c r="I370" s="4"/>
      <c r="J370" s="4"/>
      <c r="K370" s="4"/>
      <c r="L370" s="4"/>
      <c r="M370" s="4"/>
      <c r="N370" s="4"/>
      <c r="O370" s="4"/>
      <c r="P370" s="4"/>
      <c r="Q370" s="4"/>
      <c r="R370" s="4"/>
      <c r="S370" s="4"/>
    </row>
    <row r="371" spans="2:19" x14ac:dyDescent="0.2">
      <c r="B371" s="4"/>
      <c r="C371" s="4"/>
      <c r="D371" s="4"/>
      <c r="E371" s="4"/>
      <c r="F371" s="4"/>
      <c r="G371" s="4"/>
      <c r="H371" s="4"/>
      <c r="I371" s="4"/>
      <c r="J371" s="4"/>
      <c r="K371" s="4"/>
      <c r="L371" s="4"/>
      <c r="M371" s="4"/>
      <c r="N371" s="4"/>
      <c r="O371" s="4"/>
      <c r="P371" s="4"/>
      <c r="Q371" s="4"/>
      <c r="R371" s="4"/>
      <c r="S371" s="4"/>
    </row>
    <row r="372" spans="2:19" x14ac:dyDescent="0.2">
      <c r="B372" s="4"/>
      <c r="C372" s="4"/>
      <c r="D372" s="4"/>
      <c r="E372" s="4"/>
      <c r="F372" s="4"/>
      <c r="G372" s="4"/>
      <c r="H372" s="4"/>
      <c r="I372" s="4"/>
      <c r="J372" s="4"/>
      <c r="K372" s="4"/>
      <c r="L372" s="4"/>
      <c r="M372" s="4"/>
      <c r="N372" s="4"/>
      <c r="O372" s="4"/>
      <c r="P372" s="4"/>
      <c r="Q372" s="4"/>
      <c r="R372" s="4"/>
      <c r="S372" s="4"/>
    </row>
    <row r="373" spans="2:19" x14ac:dyDescent="0.2">
      <c r="B373" s="4"/>
      <c r="C373" s="4"/>
      <c r="D373" s="4"/>
      <c r="E373" s="4"/>
      <c r="F373" s="4"/>
      <c r="G373" s="4"/>
      <c r="H373" s="4"/>
      <c r="I373" s="4"/>
      <c r="J373" s="4"/>
      <c r="K373" s="4"/>
      <c r="L373" s="4"/>
      <c r="M373" s="4"/>
      <c r="N373" s="4"/>
      <c r="O373" s="4"/>
      <c r="P373" s="4"/>
      <c r="Q373" s="4"/>
      <c r="R373" s="4"/>
      <c r="S373" s="4"/>
    </row>
    <row r="374" spans="2:19" x14ac:dyDescent="0.2">
      <c r="B374" s="4"/>
      <c r="C374" s="4"/>
      <c r="D374" s="4"/>
      <c r="E374" s="4"/>
      <c r="F374" s="4"/>
      <c r="G374" s="4"/>
      <c r="H374" s="4"/>
      <c r="I374" s="4"/>
      <c r="J374" s="4"/>
      <c r="K374" s="4"/>
      <c r="L374" s="4"/>
      <c r="M374" s="4"/>
      <c r="N374" s="4"/>
      <c r="O374" s="4"/>
      <c r="P374" s="4"/>
      <c r="Q374" s="4"/>
      <c r="R374" s="4"/>
      <c r="S374" s="4"/>
    </row>
    <row r="375" spans="2:19" x14ac:dyDescent="0.2">
      <c r="B375" s="4"/>
      <c r="C375" s="4"/>
      <c r="D375" s="4"/>
      <c r="E375" s="4"/>
      <c r="F375" s="4"/>
      <c r="G375" s="4"/>
      <c r="H375" s="4"/>
      <c r="I375" s="4"/>
      <c r="J375" s="4"/>
      <c r="K375" s="4"/>
      <c r="L375" s="4"/>
      <c r="M375" s="4"/>
      <c r="N375" s="4"/>
      <c r="O375" s="4"/>
      <c r="P375" s="4"/>
      <c r="Q375" s="4"/>
      <c r="R375" s="4"/>
      <c r="S375" s="4"/>
    </row>
    <row r="376" spans="2:19" x14ac:dyDescent="0.2">
      <c r="B376" s="4"/>
      <c r="C376" s="4"/>
      <c r="D376" s="4"/>
      <c r="E376" s="4"/>
      <c r="F376" s="4"/>
      <c r="G376" s="4"/>
      <c r="H376" s="4"/>
      <c r="I376" s="4"/>
      <c r="J376" s="4"/>
      <c r="K376" s="4"/>
      <c r="L376" s="4"/>
      <c r="M376" s="4"/>
      <c r="N376" s="4"/>
      <c r="O376" s="4"/>
      <c r="P376" s="4"/>
      <c r="Q376" s="4"/>
      <c r="R376" s="4"/>
      <c r="S376" s="4"/>
    </row>
    <row r="377" spans="2:19" x14ac:dyDescent="0.2">
      <c r="B377" s="4"/>
      <c r="C377" s="4"/>
      <c r="D377" s="4"/>
      <c r="E377" s="4"/>
      <c r="F377" s="4"/>
      <c r="G377" s="4"/>
      <c r="H377" s="4"/>
      <c r="I377" s="4"/>
      <c r="J377" s="4"/>
      <c r="K377" s="4"/>
      <c r="L377" s="4"/>
      <c r="M377" s="4"/>
      <c r="N377" s="4"/>
      <c r="O377" s="4"/>
      <c r="P377" s="4"/>
      <c r="Q377" s="4"/>
      <c r="R377" s="4"/>
      <c r="S377" s="4"/>
    </row>
    <row r="378" spans="2:19" x14ac:dyDescent="0.2">
      <c r="B378" s="4"/>
      <c r="C378" s="4"/>
      <c r="D378" s="4"/>
      <c r="E378" s="4"/>
      <c r="F378" s="4"/>
      <c r="G378" s="4"/>
      <c r="H378" s="4"/>
      <c r="I378" s="4"/>
      <c r="J378" s="4"/>
      <c r="K378" s="4"/>
      <c r="L378" s="4"/>
      <c r="M378" s="4"/>
      <c r="N378" s="4"/>
      <c r="O378" s="4"/>
      <c r="P378" s="4"/>
      <c r="Q378" s="4"/>
      <c r="R378" s="4"/>
      <c r="S378" s="4"/>
    </row>
    <row r="379" spans="2:19" x14ac:dyDescent="0.2">
      <c r="B379" s="4"/>
      <c r="C379" s="4"/>
      <c r="D379" s="4"/>
      <c r="E379" s="4"/>
      <c r="F379" s="4"/>
      <c r="G379" s="4"/>
      <c r="H379" s="4"/>
      <c r="I379" s="4"/>
      <c r="J379" s="4"/>
      <c r="K379" s="4"/>
      <c r="L379" s="4"/>
      <c r="M379" s="4"/>
      <c r="N379" s="4"/>
      <c r="O379" s="4"/>
      <c r="P379" s="4"/>
      <c r="Q379" s="4"/>
      <c r="R379" s="4"/>
      <c r="S379" s="4"/>
    </row>
    <row r="380" spans="2:19" x14ac:dyDescent="0.2">
      <c r="B380" s="4"/>
      <c r="C380" s="4"/>
      <c r="D380" s="4"/>
      <c r="E380" s="4"/>
      <c r="F380" s="4"/>
      <c r="G380" s="4"/>
      <c r="H380" s="4"/>
      <c r="I380" s="4"/>
      <c r="J380" s="4"/>
      <c r="K380" s="4"/>
      <c r="L380" s="4"/>
      <c r="M380" s="4"/>
      <c r="N380" s="4"/>
      <c r="O380" s="4"/>
      <c r="P380" s="4"/>
      <c r="Q380" s="4"/>
      <c r="R380" s="4"/>
      <c r="S380" s="4"/>
    </row>
    <row r="381" spans="2:19" x14ac:dyDescent="0.2">
      <c r="B381" s="4"/>
      <c r="C381" s="4"/>
      <c r="D381" s="4"/>
      <c r="E381" s="4"/>
      <c r="F381" s="4"/>
      <c r="G381" s="4"/>
      <c r="H381" s="4"/>
      <c r="I381" s="4"/>
      <c r="J381" s="4"/>
      <c r="K381" s="4"/>
      <c r="L381" s="4"/>
      <c r="M381" s="4"/>
      <c r="N381" s="4"/>
      <c r="O381" s="4"/>
      <c r="P381" s="4"/>
      <c r="Q381" s="4"/>
      <c r="R381" s="4"/>
      <c r="S381" s="4"/>
    </row>
    <row r="382" spans="2:19" x14ac:dyDescent="0.2">
      <c r="B382" s="4"/>
      <c r="C382" s="4"/>
      <c r="D382" s="4"/>
      <c r="E382" s="4"/>
      <c r="F382" s="4"/>
      <c r="G382" s="4"/>
      <c r="H382" s="4"/>
      <c r="I382" s="4"/>
      <c r="J382" s="4"/>
      <c r="K382" s="4"/>
      <c r="L382" s="4"/>
      <c r="M382" s="4"/>
      <c r="N382" s="4"/>
      <c r="O382" s="4"/>
      <c r="P382" s="4"/>
      <c r="Q382" s="4"/>
      <c r="R382" s="4"/>
      <c r="S382" s="4"/>
    </row>
    <row r="383" spans="2:19" x14ac:dyDescent="0.2">
      <c r="B383" s="4"/>
      <c r="C383" s="4"/>
      <c r="D383" s="4"/>
      <c r="E383" s="4"/>
      <c r="F383" s="4"/>
      <c r="G383" s="4"/>
      <c r="H383" s="4"/>
      <c r="I383" s="4"/>
      <c r="J383" s="4"/>
      <c r="K383" s="4"/>
      <c r="L383" s="4"/>
      <c r="M383" s="4"/>
      <c r="N383" s="4"/>
      <c r="O383" s="4"/>
      <c r="P383" s="4"/>
      <c r="Q383" s="4"/>
      <c r="R383" s="4"/>
      <c r="S383" s="4"/>
    </row>
    <row r="384" spans="2:19" x14ac:dyDescent="0.2">
      <c r="B384" s="4"/>
      <c r="C384" s="4"/>
      <c r="D384" s="4"/>
      <c r="E384" s="4"/>
      <c r="F384" s="4"/>
      <c r="G384" s="4"/>
      <c r="H384" s="4"/>
      <c r="I384" s="4"/>
      <c r="J384" s="4"/>
      <c r="K384" s="4"/>
      <c r="L384" s="4"/>
      <c r="M384" s="4"/>
      <c r="N384" s="4"/>
      <c r="O384" s="4"/>
      <c r="P384" s="4"/>
      <c r="Q384" s="4"/>
      <c r="R384" s="4"/>
      <c r="S384" s="4"/>
    </row>
    <row r="385" spans="2:19" x14ac:dyDescent="0.2">
      <c r="B385" s="4"/>
      <c r="C385" s="4"/>
      <c r="D385" s="4"/>
      <c r="E385" s="4"/>
      <c r="F385" s="4"/>
      <c r="G385" s="4"/>
      <c r="H385" s="4"/>
      <c r="I385" s="4"/>
      <c r="J385" s="4"/>
      <c r="K385" s="4"/>
      <c r="L385" s="4"/>
      <c r="M385" s="4"/>
      <c r="N385" s="4"/>
      <c r="O385" s="4"/>
      <c r="P385" s="4"/>
      <c r="Q385" s="4"/>
      <c r="R385" s="4"/>
      <c r="S385" s="4"/>
    </row>
    <row r="386" spans="2:19" x14ac:dyDescent="0.2">
      <c r="B386" s="4"/>
      <c r="C386" s="4"/>
      <c r="D386" s="4"/>
      <c r="E386" s="4"/>
      <c r="F386" s="4"/>
      <c r="G386" s="4"/>
      <c r="H386" s="4"/>
      <c r="I386" s="4"/>
      <c r="J386" s="4"/>
      <c r="K386" s="4"/>
      <c r="L386" s="4"/>
      <c r="M386" s="4"/>
      <c r="N386" s="4"/>
      <c r="O386" s="4"/>
      <c r="P386" s="4"/>
      <c r="Q386" s="4"/>
      <c r="R386" s="4"/>
      <c r="S386" s="4"/>
    </row>
    <row r="387" spans="2:19" x14ac:dyDescent="0.2">
      <c r="B387" s="4"/>
      <c r="C387" s="4"/>
      <c r="D387" s="4"/>
      <c r="E387" s="4"/>
      <c r="F387" s="4"/>
      <c r="G387" s="4"/>
      <c r="H387" s="4"/>
      <c r="I387" s="4"/>
      <c r="J387" s="4"/>
      <c r="K387" s="4"/>
      <c r="L387" s="4"/>
      <c r="M387" s="4"/>
      <c r="N387" s="4"/>
      <c r="O387" s="4"/>
      <c r="P387" s="4"/>
      <c r="Q387" s="4"/>
      <c r="R387" s="4"/>
      <c r="S387" s="4"/>
    </row>
    <row r="388" spans="2:19" x14ac:dyDescent="0.2">
      <c r="B388" s="4"/>
      <c r="C388" s="4"/>
      <c r="D388" s="4"/>
      <c r="E388" s="4"/>
      <c r="F388" s="4"/>
      <c r="G388" s="4"/>
      <c r="H388" s="4"/>
      <c r="I388" s="4"/>
      <c r="J388" s="4"/>
      <c r="K388" s="4"/>
      <c r="L388" s="4"/>
      <c r="M388" s="4"/>
      <c r="N388" s="4"/>
      <c r="O388" s="4"/>
      <c r="P388" s="4"/>
      <c r="Q388" s="4"/>
      <c r="R388" s="4"/>
      <c r="S388" s="4"/>
    </row>
    <row r="389" spans="2:19" x14ac:dyDescent="0.2">
      <c r="B389" s="4"/>
      <c r="C389" s="4"/>
      <c r="D389" s="4"/>
      <c r="E389" s="4"/>
      <c r="F389" s="4"/>
      <c r="G389" s="4"/>
      <c r="H389" s="4"/>
      <c r="I389" s="4"/>
      <c r="J389" s="4"/>
      <c r="K389" s="4"/>
      <c r="L389" s="4"/>
      <c r="M389" s="4"/>
      <c r="N389" s="4"/>
      <c r="O389" s="4"/>
      <c r="P389" s="4"/>
      <c r="Q389" s="4"/>
      <c r="R389" s="4"/>
      <c r="S389" s="4"/>
    </row>
    <row r="390" spans="2:19" x14ac:dyDescent="0.2">
      <c r="B390" s="4"/>
      <c r="C390" s="4"/>
      <c r="D390" s="4"/>
      <c r="E390" s="4"/>
      <c r="F390" s="4"/>
      <c r="G390" s="4"/>
      <c r="H390" s="4"/>
      <c r="I390" s="4"/>
      <c r="J390" s="4"/>
      <c r="K390" s="4"/>
      <c r="L390" s="4"/>
      <c r="M390" s="4"/>
      <c r="N390" s="4"/>
      <c r="O390" s="4"/>
      <c r="P390" s="4"/>
      <c r="Q390" s="4"/>
      <c r="R390" s="4"/>
      <c r="S390" s="4"/>
    </row>
    <row r="391" spans="2:19" x14ac:dyDescent="0.2">
      <c r="B391" s="4"/>
      <c r="C391" s="4"/>
      <c r="D391" s="4"/>
      <c r="E391" s="4"/>
      <c r="F391" s="4"/>
      <c r="G391" s="4"/>
      <c r="H391" s="4"/>
      <c r="I391" s="4"/>
      <c r="J391" s="4"/>
      <c r="K391" s="4"/>
      <c r="L391" s="4"/>
      <c r="M391" s="4"/>
      <c r="N391" s="4"/>
      <c r="O391" s="4"/>
      <c r="P391" s="4"/>
      <c r="Q391" s="4"/>
      <c r="R391" s="4"/>
      <c r="S391" s="4"/>
    </row>
    <row r="392" spans="2:19" x14ac:dyDescent="0.2">
      <c r="B392" s="4"/>
      <c r="C392" s="4"/>
      <c r="D392" s="4"/>
      <c r="E392" s="4"/>
      <c r="F392" s="4"/>
      <c r="G392" s="4"/>
      <c r="H392" s="4"/>
      <c r="I392" s="4"/>
      <c r="J392" s="4"/>
      <c r="K392" s="4"/>
      <c r="L392" s="4"/>
      <c r="M392" s="4"/>
      <c r="N392" s="4"/>
      <c r="O392" s="4"/>
      <c r="P392" s="4"/>
      <c r="Q392" s="4"/>
      <c r="R392" s="4"/>
      <c r="S392" s="4"/>
    </row>
    <row r="393" spans="2:19" x14ac:dyDescent="0.2">
      <c r="B393" s="4"/>
      <c r="C393" s="4"/>
      <c r="D393" s="4"/>
      <c r="E393" s="4"/>
      <c r="F393" s="4"/>
      <c r="G393" s="4"/>
      <c r="H393" s="4"/>
      <c r="I393" s="4"/>
      <c r="J393" s="4"/>
      <c r="K393" s="4"/>
      <c r="L393" s="4"/>
      <c r="M393" s="4"/>
      <c r="N393" s="4"/>
      <c r="O393" s="4"/>
      <c r="P393" s="4"/>
      <c r="Q393" s="4"/>
      <c r="R393" s="4"/>
      <c r="S393" s="4"/>
    </row>
    <row r="394" spans="2:19" x14ac:dyDescent="0.2">
      <c r="B394" s="4"/>
      <c r="C394" s="4"/>
      <c r="D394" s="4"/>
      <c r="E394" s="4"/>
      <c r="F394" s="4"/>
      <c r="G394" s="4"/>
      <c r="H394" s="4"/>
      <c r="I394" s="4"/>
      <c r="J394" s="4"/>
      <c r="K394" s="4"/>
      <c r="L394" s="4"/>
      <c r="M394" s="4"/>
      <c r="N394" s="4"/>
      <c r="O394" s="4"/>
      <c r="P394" s="4"/>
      <c r="Q394" s="4"/>
      <c r="R394" s="4"/>
      <c r="S394" s="4"/>
    </row>
    <row r="395" spans="2:19" x14ac:dyDescent="0.2">
      <c r="B395" s="4"/>
      <c r="C395" s="4"/>
      <c r="D395" s="4"/>
      <c r="E395" s="4"/>
      <c r="F395" s="4"/>
      <c r="G395" s="4"/>
      <c r="H395" s="4"/>
      <c r="I395" s="4"/>
      <c r="J395" s="4"/>
      <c r="K395" s="4"/>
      <c r="L395" s="4"/>
      <c r="M395" s="4"/>
      <c r="N395" s="4"/>
      <c r="O395" s="4"/>
      <c r="P395" s="4"/>
      <c r="Q395" s="4"/>
      <c r="R395" s="4"/>
      <c r="S395" s="4"/>
    </row>
    <row r="396" spans="2:19" x14ac:dyDescent="0.2">
      <c r="B396" s="4"/>
      <c r="C396" s="4"/>
      <c r="D396" s="4"/>
      <c r="E396" s="4"/>
      <c r="F396" s="4"/>
      <c r="G396" s="4"/>
      <c r="H396" s="4"/>
      <c r="I396" s="4"/>
      <c r="J396" s="4"/>
      <c r="K396" s="4"/>
      <c r="L396" s="4"/>
      <c r="M396" s="4"/>
      <c r="N396" s="4"/>
      <c r="O396" s="4"/>
      <c r="P396" s="4"/>
      <c r="Q396" s="4"/>
      <c r="R396" s="4"/>
      <c r="S396" s="4"/>
    </row>
    <row r="397" spans="2:19" x14ac:dyDescent="0.2">
      <c r="B397" s="4"/>
      <c r="C397" s="4"/>
      <c r="D397" s="4"/>
      <c r="E397" s="4"/>
      <c r="F397" s="4"/>
      <c r="G397" s="4"/>
      <c r="H397" s="4"/>
      <c r="I397" s="4"/>
      <c r="J397" s="4"/>
      <c r="K397" s="4"/>
      <c r="L397" s="4"/>
      <c r="M397" s="4"/>
      <c r="N397" s="4"/>
      <c r="O397" s="4"/>
      <c r="P397" s="4"/>
      <c r="Q397" s="4"/>
      <c r="R397" s="4"/>
      <c r="S397" s="4"/>
    </row>
    <row r="398" spans="2:19" x14ac:dyDescent="0.2">
      <c r="B398" s="4"/>
      <c r="C398" s="4"/>
      <c r="D398" s="4"/>
      <c r="E398" s="4"/>
      <c r="F398" s="4"/>
      <c r="G398" s="4"/>
      <c r="H398" s="4"/>
      <c r="I398" s="4"/>
      <c r="J398" s="4"/>
      <c r="K398" s="4"/>
      <c r="L398" s="4"/>
      <c r="M398" s="4"/>
      <c r="N398" s="4"/>
      <c r="O398" s="4"/>
      <c r="P398" s="4"/>
      <c r="Q398" s="4"/>
      <c r="R398" s="4"/>
      <c r="S398" s="4"/>
    </row>
    <row r="399" spans="2:19" x14ac:dyDescent="0.2">
      <c r="B399" s="4"/>
      <c r="C399" s="4"/>
      <c r="D399" s="4"/>
      <c r="E399" s="4"/>
      <c r="F399" s="4"/>
      <c r="G399" s="4"/>
      <c r="H399" s="4"/>
      <c r="I399" s="4"/>
      <c r="J399" s="4"/>
      <c r="K399" s="4"/>
      <c r="L399" s="4"/>
      <c r="M399" s="4"/>
      <c r="N399" s="4"/>
      <c r="O399" s="4"/>
      <c r="P399" s="4"/>
      <c r="Q399" s="4"/>
      <c r="R399" s="4"/>
      <c r="S399" s="4"/>
    </row>
    <row r="400" spans="2:19" x14ac:dyDescent="0.2">
      <c r="B400" s="4"/>
      <c r="C400" s="4"/>
      <c r="D400" s="4"/>
      <c r="E400" s="4"/>
      <c r="F400" s="4"/>
      <c r="G400" s="4"/>
      <c r="H400" s="4"/>
      <c r="I400" s="4"/>
      <c r="J400" s="4"/>
      <c r="K400" s="4"/>
      <c r="L400" s="4"/>
      <c r="M400" s="4"/>
      <c r="N400" s="4"/>
      <c r="O400" s="4"/>
      <c r="P400" s="4"/>
      <c r="Q400" s="4"/>
      <c r="R400" s="4"/>
      <c r="S400" s="4"/>
    </row>
    <row r="401" spans="2:19" x14ac:dyDescent="0.2">
      <c r="B401" s="4"/>
      <c r="C401" s="4"/>
      <c r="D401" s="4"/>
      <c r="E401" s="4"/>
      <c r="F401" s="4"/>
      <c r="G401" s="4"/>
      <c r="H401" s="4"/>
      <c r="I401" s="4"/>
      <c r="J401" s="4"/>
      <c r="K401" s="4"/>
      <c r="L401" s="4"/>
      <c r="M401" s="4"/>
      <c r="N401" s="4"/>
      <c r="O401" s="4"/>
      <c r="P401" s="4"/>
      <c r="Q401" s="4"/>
      <c r="R401" s="4"/>
      <c r="S401" s="4"/>
    </row>
    <row r="402" spans="2:19" x14ac:dyDescent="0.2">
      <c r="B402" s="4"/>
      <c r="C402" s="4"/>
      <c r="D402" s="4"/>
      <c r="E402" s="4"/>
      <c r="F402" s="4"/>
      <c r="G402" s="4"/>
      <c r="H402" s="4"/>
      <c r="I402" s="4"/>
      <c r="J402" s="4"/>
      <c r="K402" s="4"/>
      <c r="L402" s="4"/>
      <c r="M402" s="4"/>
      <c r="N402" s="4"/>
      <c r="O402" s="4"/>
      <c r="P402" s="4"/>
      <c r="Q402" s="4"/>
      <c r="R402" s="4"/>
      <c r="S402" s="4"/>
    </row>
    <row r="403" spans="2:19" x14ac:dyDescent="0.2">
      <c r="B403" s="4"/>
      <c r="C403" s="4"/>
      <c r="D403" s="4"/>
      <c r="E403" s="4"/>
      <c r="F403" s="4"/>
      <c r="G403" s="4"/>
      <c r="H403" s="4"/>
      <c r="I403" s="4"/>
      <c r="J403" s="4"/>
      <c r="K403" s="4"/>
      <c r="L403" s="4"/>
      <c r="M403" s="4"/>
      <c r="N403" s="4"/>
      <c r="O403" s="4"/>
      <c r="P403" s="4"/>
      <c r="Q403" s="4"/>
      <c r="R403" s="4"/>
      <c r="S403" s="4"/>
    </row>
    <row r="404" spans="2:19" x14ac:dyDescent="0.2">
      <c r="B404" s="4"/>
      <c r="C404" s="4"/>
      <c r="D404" s="4"/>
      <c r="E404" s="4"/>
      <c r="F404" s="4"/>
      <c r="G404" s="4"/>
      <c r="H404" s="4"/>
      <c r="I404" s="4"/>
      <c r="J404" s="4"/>
      <c r="K404" s="4"/>
      <c r="L404" s="4"/>
      <c r="M404" s="4"/>
      <c r="N404" s="4"/>
      <c r="O404" s="4"/>
      <c r="P404" s="4"/>
      <c r="Q404" s="4"/>
      <c r="R404" s="4"/>
      <c r="S404" s="4"/>
    </row>
    <row r="405" spans="2:19" x14ac:dyDescent="0.2">
      <c r="B405" s="4"/>
      <c r="C405" s="4"/>
      <c r="D405" s="4"/>
      <c r="E405" s="4"/>
      <c r="F405" s="4"/>
      <c r="G405" s="4"/>
      <c r="H405" s="4"/>
      <c r="I405" s="4"/>
      <c r="J405" s="4"/>
      <c r="K405" s="4"/>
      <c r="L405" s="4"/>
      <c r="M405" s="4"/>
      <c r="N405" s="4"/>
      <c r="O405" s="4"/>
      <c r="P405" s="4"/>
      <c r="Q405" s="4"/>
      <c r="R405" s="4"/>
      <c r="S405" s="4"/>
    </row>
    <row r="406" spans="2:19" x14ac:dyDescent="0.2">
      <c r="B406" s="4"/>
      <c r="C406" s="4"/>
      <c r="D406" s="4"/>
      <c r="E406" s="4"/>
      <c r="F406" s="4"/>
      <c r="G406" s="4"/>
      <c r="H406" s="4"/>
      <c r="I406" s="4"/>
      <c r="J406" s="4"/>
      <c r="K406" s="4"/>
      <c r="L406" s="4"/>
      <c r="M406" s="4"/>
      <c r="N406" s="4"/>
      <c r="O406" s="4"/>
      <c r="P406" s="4"/>
      <c r="Q406" s="4"/>
      <c r="R406" s="4"/>
      <c r="S406" s="4"/>
    </row>
    <row r="407" spans="2:19" x14ac:dyDescent="0.2">
      <c r="B407" s="4"/>
      <c r="C407" s="4"/>
      <c r="D407" s="4"/>
      <c r="E407" s="4"/>
      <c r="F407" s="4"/>
      <c r="G407" s="4"/>
      <c r="H407" s="4"/>
      <c r="I407" s="4"/>
      <c r="J407" s="4"/>
      <c r="K407" s="4"/>
      <c r="L407" s="4"/>
      <c r="M407" s="4"/>
      <c r="N407" s="4"/>
      <c r="O407" s="4"/>
      <c r="P407" s="4"/>
      <c r="Q407" s="4"/>
      <c r="R407" s="4"/>
      <c r="S407" s="4"/>
    </row>
    <row r="408" spans="2:19" x14ac:dyDescent="0.2">
      <c r="B408" s="4"/>
      <c r="C408" s="4"/>
      <c r="D408" s="4"/>
      <c r="E408" s="4"/>
      <c r="F408" s="4"/>
      <c r="G408" s="4"/>
      <c r="H408" s="4"/>
      <c r="I408" s="4"/>
      <c r="J408" s="4"/>
      <c r="K408" s="4"/>
      <c r="L408" s="4"/>
      <c r="M408" s="4"/>
      <c r="N408" s="4"/>
      <c r="O408" s="4"/>
      <c r="P408" s="4"/>
      <c r="Q408" s="4"/>
      <c r="R408" s="4"/>
      <c r="S408" s="4"/>
    </row>
    <row r="409" spans="2:19" x14ac:dyDescent="0.2">
      <c r="B409" s="4"/>
      <c r="C409" s="4"/>
      <c r="D409" s="4"/>
      <c r="E409" s="4"/>
      <c r="F409" s="4"/>
      <c r="G409" s="4"/>
      <c r="H409" s="4"/>
      <c r="I409" s="4"/>
      <c r="J409" s="4"/>
      <c r="K409" s="4"/>
      <c r="L409" s="4"/>
      <c r="M409" s="4"/>
      <c r="N409" s="4"/>
      <c r="O409" s="4"/>
      <c r="P409" s="4"/>
      <c r="Q409" s="4"/>
      <c r="R409" s="4"/>
      <c r="S409" s="4"/>
    </row>
    <row r="410" spans="2:19" x14ac:dyDescent="0.2">
      <c r="B410" s="4"/>
      <c r="C410" s="4"/>
      <c r="D410" s="4"/>
      <c r="E410" s="4"/>
      <c r="F410" s="4"/>
      <c r="G410" s="4"/>
      <c r="H410" s="4"/>
      <c r="I410" s="4"/>
      <c r="J410" s="4"/>
      <c r="K410" s="4"/>
      <c r="L410" s="4"/>
      <c r="M410" s="4"/>
      <c r="N410" s="4"/>
      <c r="O410" s="4"/>
      <c r="P410" s="4"/>
      <c r="Q410" s="4"/>
      <c r="R410" s="4"/>
      <c r="S410" s="4"/>
    </row>
    <row r="411" spans="2:19" x14ac:dyDescent="0.2">
      <c r="B411" s="4"/>
      <c r="C411" s="4"/>
      <c r="D411" s="4"/>
      <c r="E411" s="4"/>
      <c r="F411" s="4"/>
      <c r="G411" s="4"/>
      <c r="H411" s="4"/>
      <c r="I411" s="4"/>
      <c r="J411" s="4"/>
      <c r="K411" s="4"/>
      <c r="L411" s="4"/>
      <c r="M411" s="4"/>
      <c r="N411" s="4"/>
      <c r="O411" s="4"/>
      <c r="P411" s="4"/>
      <c r="Q411" s="4"/>
      <c r="R411" s="4"/>
      <c r="S411" s="4"/>
    </row>
    <row r="412" spans="2:19" x14ac:dyDescent="0.2">
      <c r="B412" s="4"/>
      <c r="C412" s="4"/>
      <c r="D412" s="4"/>
      <c r="E412" s="4"/>
      <c r="F412" s="4"/>
      <c r="G412" s="4"/>
      <c r="H412" s="4"/>
      <c r="I412" s="4"/>
      <c r="J412" s="4"/>
      <c r="K412" s="4"/>
      <c r="L412" s="4"/>
      <c r="M412" s="4"/>
      <c r="N412" s="4"/>
      <c r="O412" s="4"/>
      <c r="P412" s="4"/>
      <c r="Q412" s="4"/>
      <c r="R412" s="4"/>
      <c r="S412" s="4"/>
    </row>
    <row r="413" spans="2:19" x14ac:dyDescent="0.2">
      <c r="B413" s="4"/>
      <c r="C413" s="4"/>
      <c r="D413" s="4"/>
      <c r="E413" s="4"/>
      <c r="F413" s="4"/>
      <c r="G413" s="4"/>
      <c r="H413" s="4"/>
      <c r="I413" s="4"/>
      <c r="J413" s="4"/>
      <c r="K413" s="4"/>
      <c r="L413" s="4"/>
      <c r="M413" s="4"/>
      <c r="N413" s="4"/>
      <c r="O413" s="4"/>
      <c r="P413" s="4"/>
      <c r="Q413" s="4"/>
      <c r="R413" s="4"/>
      <c r="S413" s="4"/>
    </row>
    <row r="414" spans="2:19" x14ac:dyDescent="0.2">
      <c r="B414" s="4"/>
      <c r="C414" s="4"/>
      <c r="D414" s="4"/>
      <c r="E414" s="4"/>
      <c r="F414" s="4"/>
      <c r="G414" s="4"/>
      <c r="H414" s="4"/>
      <c r="I414" s="4"/>
      <c r="J414" s="4"/>
      <c r="K414" s="4"/>
      <c r="L414" s="4"/>
      <c r="M414" s="4"/>
      <c r="N414" s="4"/>
      <c r="O414" s="4"/>
      <c r="P414" s="4"/>
      <c r="Q414" s="4"/>
      <c r="R414" s="4"/>
      <c r="S414" s="4"/>
    </row>
  </sheetData>
  <mergeCells count="17">
    <mergeCell ref="F111:G111"/>
    <mergeCell ref="H111:I111"/>
    <mergeCell ref="E40:E41"/>
    <mergeCell ref="H40:H41"/>
    <mergeCell ref="J62:J63"/>
    <mergeCell ref="F102:G102"/>
    <mergeCell ref="H102:I102"/>
    <mergeCell ref="R173:S173"/>
    <mergeCell ref="R174:S174"/>
    <mergeCell ref="R175:S175"/>
    <mergeCell ref="F125:G125"/>
    <mergeCell ref="H125:I125"/>
    <mergeCell ref="O135:P135"/>
    <mergeCell ref="Q135:R135"/>
    <mergeCell ref="I159:I161"/>
    <mergeCell ref="J171:J172"/>
    <mergeCell ref="R172:S172"/>
  </mergeCells>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 Eq Valuation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Burka</dc:creator>
  <cp:lastModifiedBy>Terry Burka</cp:lastModifiedBy>
  <dcterms:created xsi:type="dcterms:W3CDTF">2021-10-05T21:21:47Z</dcterms:created>
  <dcterms:modified xsi:type="dcterms:W3CDTF">2021-10-29T16:51:46Z</dcterms:modified>
</cp:coreProperties>
</file>